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Backup\Desktop\GNI - 2017\2017 - Infra\Details From DO\Valley - Sanubhai\School - Design and Estimate\Required Documents EOI - Parbat\"/>
    </mc:Choice>
  </mc:AlternateContent>
  <bookViews>
    <workbookView xWindow="-1095" yWindow="-105" windowWidth="10410" windowHeight="8205" tabRatio="729" firstSheet="2" activeTab="2"/>
  </bookViews>
  <sheets>
    <sheet name="Quantity Estimate" sheetId="1" state="hidden" r:id="rId1"/>
    <sheet name="Cooperative" sheetId="2" state="hidden" r:id="rId2"/>
    <sheet name="BOQ" sheetId="18" r:id="rId3"/>
  </sheets>
  <externalReferences>
    <externalReference r:id="rId4"/>
  </externalReferences>
  <definedNames>
    <definedName name="_xlnm.Print_Area" localSheetId="2">BOQ!$A$1:$G$65</definedName>
    <definedName name="_xlnm.Print_Area" localSheetId="1">Cooperative!$A$1:$G$43</definedName>
    <definedName name="_xlnm.Print_Area" localSheetId="0">'Quantity Estimate'!$A$1:$I$408</definedName>
    <definedName name="_xlnm.Print_Titles" localSheetId="2">BOQ!$1:$6</definedName>
  </definedNames>
  <calcPr calcId="162913"/>
</workbook>
</file>

<file path=xl/calcChain.xml><?xml version="1.0" encoding="utf-8"?>
<calcChain xmlns="http://schemas.openxmlformats.org/spreadsheetml/2006/main">
  <c r="C63" i="18" l="1"/>
  <c r="F63" i="18" s="1"/>
  <c r="F62" i="18"/>
  <c r="C61" i="18"/>
  <c r="F61" i="18" s="1"/>
  <c r="F60" i="18"/>
  <c r="C59" i="18"/>
  <c r="F59" i="18" s="1"/>
  <c r="F58" i="18"/>
  <c r="C57" i="18"/>
  <c r="F56" i="18"/>
  <c r="C55" i="18"/>
  <c r="F54" i="18"/>
  <c r="F53" i="18"/>
  <c r="C52" i="18"/>
  <c r="F52" i="18" s="1"/>
  <c r="F51" i="18"/>
  <c r="C50" i="18"/>
  <c r="F50" i="18" s="1"/>
  <c r="F49" i="18"/>
  <c r="C48" i="18"/>
  <c r="C46" i="18"/>
  <c r="C44" i="18"/>
  <c r="C41" i="18"/>
  <c r="F41" i="18" s="1"/>
  <c r="C40" i="18"/>
  <c r="F40" i="18" s="1"/>
  <c r="C39" i="18"/>
  <c r="C38" i="18"/>
  <c r="F37" i="18"/>
  <c r="F36" i="18"/>
  <c r="C36" i="18"/>
  <c r="C35" i="18"/>
  <c r="F35" i="18" s="1"/>
  <c r="C34" i="18"/>
  <c r="F34" i="18" s="1"/>
  <c r="F33" i="18"/>
  <c r="C32" i="18"/>
  <c r="F32" i="18" s="1"/>
  <c r="F31" i="18"/>
  <c r="F30" i="18"/>
  <c r="F29" i="18"/>
  <c r="C28" i="18"/>
  <c r="F27" i="18"/>
  <c r="C26" i="18"/>
  <c r="F25" i="18"/>
  <c r="C24" i="18"/>
  <c r="F23" i="18"/>
  <c r="F22" i="18"/>
  <c r="C21" i="18"/>
  <c r="F20" i="18"/>
  <c r="F19" i="18"/>
  <c r="C19" i="18"/>
  <c r="F18" i="18"/>
  <c r="C17" i="18"/>
  <c r="F16" i="18"/>
  <c r="F15" i="18"/>
  <c r="C14" i="18"/>
  <c r="F13" i="18"/>
  <c r="C12" i="18"/>
  <c r="F11" i="18"/>
  <c r="C10" i="18"/>
  <c r="F9" i="18"/>
  <c r="F8" i="18"/>
  <c r="F28" i="18" l="1"/>
  <c r="F17" i="18"/>
  <c r="F14" i="18"/>
  <c r="F10" i="18"/>
  <c r="F21" i="18"/>
  <c r="M12" i="2" l="1"/>
  <c r="O53" i="1" l="1"/>
  <c r="O57" i="1" s="1"/>
  <c r="R57" i="1" s="1"/>
  <c r="E400" i="1" l="1"/>
  <c r="D400" i="1"/>
  <c r="D405" i="1"/>
  <c r="A4" i="1" l="1"/>
  <c r="A3" i="1"/>
  <c r="G405" i="1"/>
  <c r="G407" i="1" s="1"/>
  <c r="D35" i="2" s="1"/>
  <c r="D395" i="1"/>
  <c r="G395" i="1" s="1"/>
  <c r="D394" i="1"/>
  <c r="G394" i="1" s="1"/>
  <c r="G397" i="1" s="1"/>
  <c r="D33" i="2" s="1"/>
  <c r="D389" i="1"/>
  <c r="G389" i="1" s="1"/>
  <c r="D388" i="1"/>
  <c r="G388" i="1" s="1"/>
  <c r="G391" i="1" s="1"/>
  <c r="D32" i="2" s="1"/>
  <c r="G400" i="1" l="1"/>
  <c r="G402" i="1" s="1"/>
  <c r="D34" i="2" s="1"/>
  <c r="C331" i="1" l="1"/>
  <c r="E317" i="1"/>
  <c r="E325" i="1" s="1"/>
  <c r="E316" i="1"/>
  <c r="E324" i="1" s="1"/>
  <c r="E315" i="1"/>
  <c r="E323" i="1" s="1"/>
  <c r="E314" i="1"/>
  <c r="E322" i="1" s="1"/>
  <c r="D317" i="1"/>
  <c r="D325" i="1" s="1"/>
  <c r="D333" i="1" s="1"/>
  <c r="D315" i="1"/>
  <c r="D314" i="1"/>
  <c r="D322" i="1" s="1"/>
  <c r="D330" i="1" s="1"/>
  <c r="B317" i="1"/>
  <c r="B325" i="1" s="1"/>
  <c r="B333" i="1" s="1"/>
  <c r="B316" i="1"/>
  <c r="B324" i="1" s="1"/>
  <c r="B332" i="1" s="1"/>
  <c r="B315" i="1"/>
  <c r="B323" i="1" s="1"/>
  <c r="B331" i="1" s="1"/>
  <c r="B314" i="1"/>
  <c r="B322" i="1" s="1"/>
  <c r="B330" i="1" s="1"/>
  <c r="D216" i="1" l="1"/>
  <c r="D108" i="1"/>
  <c r="D107" i="1"/>
  <c r="G257" i="1" l="1"/>
  <c r="G212" i="1" l="1"/>
  <c r="D133" i="1"/>
  <c r="C127" i="1"/>
  <c r="C126" i="1"/>
  <c r="B111" i="1"/>
  <c r="F108" i="1"/>
  <c r="D111" i="1"/>
  <c r="F107" i="1"/>
  <c r="D110" i="1"/>
  <c r="F58" i="1"/>
  <c r="G111" i="1" l="1"/>
  <c r="D116" i="1"/>
  <c r="G110" i="1"/>
  <c r="D115" i="1"/>
  <c r="G108" i="1"/>
  <c r="F15" i="2"/>
  <c r="F22" i="2"/>
  <c r="B21" i="2"/>
  <c r="G300" i="1"/>
  <c r="G301" i="1" s="1"/>
  <c r="G302" i="1" s="1"/>
  <c r="D21" i="2" s="1"/>
  <c r="G18" i="1"/>
  <c r="G19" i="1"/>
  <c r="G15" i="1"/>
  <c r="G9" i="1"/>
  <c r="G11" i="1" s="1"/>
  <c r="G382" i="1"/>
  <c r="G381" i="1"/>
  <c r="G380" i="1"/>
  <c r="G379" i="1"/>
  <c r="G367" i="1"/>
  <c r="G366" i="1"/>
  <c r="G365" i="1"/>
  <c r="G364" i="1"/>
  <c r="G355" i="1"/>
  <c r="G356" i="1"/>
  <c r="G357" i="1"/>
  <c r="G358" i="1"/>
  <c r="B350" i="1"/>
  <c r="B367" i="1" s="1"/>
  <c r="B348" i="1"/>
  <c r="B366" i="1" s="1"/>
  <c r="B346" i="1"/>
  <c r="B365" i="1" s="1"/>
  <c r="B344" i="1"/>
  <c r="B364" i="1" s="1"/>
  <c r="G351" i="1"/>
  <c r="G350" i="1"/>
  <c r="G349" i="1"/>
  <c r="G348" i="1"/>
  <c r="G347" i="1"/>
  <c r="G346" i="1"/>
  <c r="G333" i="1"/>
  <c r="G332" i="1"/>
  <c r="G331" i="1"/>
  <c r="G330" i="1"/>
  <c r="G325" i="1"/>
  <c r="G324" i="1"/>
  <c r="G323" i="1"/>
  <c r="G322" i="1"/>
  <c r="G315" i="1"/>
  <c r="G316" i="1"/>
  <c r="G317" i="1"/>
  <c r="G314" i="1"/>
  <c r="F306" i="1"/>
  <c r="G306" i="1" s="1"/>
  <c r="F309" i="1"/>
  <c r="G309" i="1" s="1"/>
  <c r="F307" i="1"/>
  <c r="G307" i="1" s="1"/>
  <c r="G295" i="1"/>
  <c r="G294" i="1"/>
  <c r="G287" i="1"/>
  <c r="G288" i="1"/>
  <c r="G289" i="1"/>
  <c r="G286" i="1"/>
  <c r="G278" i="1"/>
  <c r="G279" i="1"/>
  <c r="G280" i="1"/>
  <c r="G277" i="1"/>
  <c r="G268" i="1"/>
  <c r="G270" i="1"/>
  <c r="G267" i="1"/>
  <c r="G265" i="1"/>
  <c r="F224" i="1"/>
  <c r="F225" i="1" s="1"/>
  <c r="D197" i="1"/>
  <c r="D198" i="1"/>
  <c r="C198" i="1"/>
  <c r="C197" i="1"/>
  <c r="B192" i="1"/>
  <c r="D174" i="1"/>
  <c r="D171" i="1"/>
  <c r="D170" i="1"/>
  <c r="C160" i="1"/>
  <c r="C159" i="1"/>
  <c r="B92" i="1"/>
  <c r="B91" i="1"/>
  <c r="D36" i="1"/>
  <c r="D35" i="1"/>
  <c r="G112" i="1" l="1"/>
  <c r="G290" i="1"/>
  <c r="G318" i="1"/>
  <c r="G359" i="1"/>
  <c r="G383" i="1"/>
  <c r="G282" i="1"/>
  <c r="G296" i="1"/>
  <c r="G326" i="1"/>
  <c r="G334" i="1"/>
  <c r="G368" i="1"/>
  <c r="G21" i="1"/>
  <c r="G22" i="1" s="1"/>
  <c r="E21" i="2"/>
  <c r="F21" i="2" s="1"/>
  <c r="E7" i="2" l="1"/>
  <c r="D126" i="1"/>
  <c r="D159" i="1" s="1"/>
  <c r="D160" i="1" s="1"/>
  <c r="C149" i="1"/>
  <c r="C148" i="1"/>
  <c r="C135" i="1"/>
  <c r="C133" i="1"/>
  <c r="D127" i="1"/>
  <c r="B119" i="1"/>
  <c r="B180" i="1" l="1"/>
  <c r="D180" i="1"/>
  <c r="D179" i="1"/>
  <c r="C209" i="1"/>
  <c r="D119" i="1"/>
  <c r="G119" i="1" s="1"/>
  <c r="D118" i="1"/>
  <c r="G118" i="1" s="1"/>
  <c r="G120" i="1" l="1"/>
  <c r="C140" i="1"/>
  <c r="D135" i="1"/>
  <c r="G135" i="1" s="1"/>
  <c r="G198" i="1" l="1"/>
  <c r="G197" i="1"/>
  <c r="B190" i="1"/>
  <c r="B198" i="1" s="1"/>
  <c r="G179" i="1"/>
  <c r="G180" i="1" l="1"/>
  <c r="F256" i="1" l="1"/>
  <c r="E256" i="1"/>
  <c r="D225" i="1"/>
  <c r="D233" i="1" s="1"/>
  <c r="D240" i="1" s="1"/>
  <c r="D253" i="1" l="1"/>
  <c r="D254" i="1" l="1"/>
  <c r="D255" i="1" s="1"/>
  <c r="D256" i="1" s="1"/>
  <c r="G256" i="1" s="1"/>
  <c r="D263" i="1"/>
  <c r="D149" i="1"/>
  <c r="D152" i="1" s="1"/>
  <c r="G152" i="1" s="1"/>
  <c r="D148" i="1"/>
  <c r="D151" i="1" s="1"/>
  <c r="G151" i="1" s="1"/>
  <c r="G32" i="1" l="1"/>
  <c r="D47" i="1" l="1"/>
  <c r="D61" i="1" s="1"/>
  <c r="D46" i="1"/>
  <c r="D60" i="1" s="1"/>
  <c r="D64" i="1" l="1"/>
  <c r="G60" i="1"/>
  <c r="D65" i="1"/>
  <c r="D76" i="1" s="1"/>
  <c r="D83" i="1" s="1"/>
  <c r="D91" i="1" s="1"/>
  <c r="G61" i="1"/>
  <c r="D75" i="1"/>
  <c r="B36" i="1"/>
  <c r="B47" i="1" s="1"/>
  <c r="B65" i="1" s="1"/>
  <c r="B35" i="1"/>
  <c r="B46" i="1" s="1"/>
  <c r="B64" i="1" s="1"/>
  <c r="D84" i="1" l="1"/>
  <c r="D92" i="1" s="1"/>
  <c r="D211" i="1"/>
  <c r="B76" i="1"/>
  <c r="B61" i="1"/>
  <c r="B75" i="1"/>
  <c r="B115" i="1" s="1"/>
  <c r="B107" i="1" s="1"/>
  <c r="B110" i="1" s="1"/>
  <c r="B60" i="1"/>
  <c r="D215" i="1" l="1"/>
  <c r="D224" i="1" s="1"/>
  <c r="G211" i="1"/>
  <c r="B126" i="1"/>
  <c r="B148" i="1" s="1"/>
  <c r="B151" i="1" s="1"/>
  <c r="B118" i="1"/>
  <c r="B149" i="1"/>
  <c r="B160" i="1"/>
  <c r="D248" i="1" l="1"/>
  <c r="D232" i="1"/>
  <c r="D239" i="1" s="1"/>
  <c r="B215" i="1"/>
  <c r="B159" i="1"/>
  <c r="B179" i="1" s="1"/>
  <c r="B189" i="1" s="1"/>
  <c r="B197" i="1" s="1"/>
  <c r="B216" i="1"/>
  <c r="B212" i="1" s="1"/>
  <c r="B152" i="1"/>
  <c r="D250" i="1" l="1"/>
  <c r="D264" i="1"/>
  <c r="D249" i="1"/>
  <c r="D251" i="1" s="1"/>
  <c r="B224" i="1"/>
  <c r="B232" i="1" s="1"/>
  <c r="B247" i="1" s="1"/>
  <c r="B211" i="1"/>
  <c r="B225" i="1"/>
  <c r="B233" i="1" s="1"/>
  <c r="B240" i="1" s="1"/>
  <c r="G352" i="1"/>
  <c r="F308" i="1"/>
  <c r="G308" i="1" s="1"/>
  <c r="G310" i="1" s="1"/>
  <c r="B239" i="1" l="1"/>
  <c r="E20" i="2"/>
  <c r="E23" i="2"/>
  <c r="G269" i="1"/>
  <c r="G264" i="1"/>
  <c r="G255" i="1"/>
  <c r="G254" i="1"/>
  <c r="G253" i="1"/>
  <c r="G251" i="1"/>
  <c r="G248" i="1"/>
  <c r="G249" i="1"/>
  <c r="G250" i="1"/>
  <c r="G240" i="1"/>
  <c r="F220" i="1"/>
  <c r="G220" i="1" s="1"/>
  <c r="C141" i="1"/>
  <c r="D103" i="1"/>
  <c r="G92" i="1"/>
  <c r="G91" i="1"/>
  <c r="F12" i="18" l="1"/>
  <c r="F38" i="18"/>
  <c r="F39" i="18"/>
  <c r="G258" i="1"/>
  <c r="G171" i="1"/>
  <c r="E30" i="2"/>
  <c r="E19" i="2"/>
  <c r="F44" i="18"/>
  <c r="E26" i="2"/>
  <c r="E18" i="2"/>
  <c r="F55" i="18"/>
  <c r="E9" i="2"/>
  <c r="G170" i="1"/>
  <c r="G149" i="1"/>
  <c r="G148" i="1"/>
  <c r="E25" i="2" l="1"/>
  <c r="F57" i="18"/>
  <c r="E28" i="2"/>
  <c r="F46" i="18"/>
  <c r="G153" i="1"/>
  <c r="G154" i="1" s="1"/>
  <c r="E8" i="2"/>
  <c r="E27" i="2"/>
  <c r="E12" i="2"/>
  <c r="E10" i="2"/>
  <c r="F26" i="18"/>
  <c r="E16" i="2" l="1"/>
  <c r="F24" i="18"/>
  <c r="F64" i="18" s="1"/>
  <c r="E29" i="2"/>
  <c r="F48" i="18"/>
  <c r="E17" i="2"/>
  <c r="E11" i="2"/>
  <c r="G259" i="1" l="1"/>
  <c r="G239" i="1"/>
  <c r="G233" i="1"/>
  <c r="F41" i="2" l="1"/>
  <c r="G232" i="1"/>
  <c r="G236" i="1"/>
  <c r="G192" i="1"/>
  <c r="G174" i="1"/>
  <c r="G182" i="1" s="1"/>
  <c r="G87" i="1"/>
  <c r="C30" i="2" l="1"/>
  <c r="B30" i="2"/>
  <c r="C29" i="2"/>
  <c r="B29" i="2"/>
  <c r="C28" i="2"/>
  <c r="B28" i="2"/>
  <c r="C27" i="2"/>
  <c r="B27" i="2"/>
  <c r="C26" i="2"/>
  <c r="B26" i="2"/>
  <c r="C25" i="2"/>
  <c r="B25" i="2"/>
  <c r="C24" i="2"/>
  <c r="B24" i="2"/>
  <c r="C23" i="2"/>
  <c r="B23" i="2"/>
  <c r="B22" i="2"/>
  <c r="C20" i="2"/>
  <c r="B20" i="2"/>
  <c r="C19" i="2"/>
  <c r="B19" i="2"/>
  <c r="A19" i="2"/>
  <c r="C18" i="2"/>
  <c r="B18" i="2"/>
  <c r="A18" i="2"/>
  <c r="C17" i="2"/>
  <c r="B17" i="2"/>
  <c r="A17" i="2"/>
  <c r="C16" i="2"/>
  <c r="B16" i="2"/>
  <c r="A16" i="2"/>
  <c r="B15" i="2"/>
  <c r="A15" i="2"/>
  <c r="C14" i="2"/>
  <c r="B14" i="2"/>
  <c r="A14" i="2"/>
  <c r="B13" i="2"/>
  <c r="A13" i="2"/>
  <c r="C12" i="2"/>
  <c r="B12" i="2"/>
  <c r="C11" i="2"/>
  <c r="B11" i="2"/>
  <c r="C10" i="2"/>
  <c r="B10" i="2"/>
  <c r="A10" i="2"/>
  <c r="C9" i="2"/>
  <c r="B9" i="2"/>
  <c r="C8" i="2"/>
  <c r="B8" i="2"/>
  <c r="C7" i="2"/>
  <c r="B7" i="2"/>
  <c r="A7" i="2"/>
  <c r="G311" i="1" l="1"/>
  <c r="G297" i="1"/>
  <c r="G327" i="1" l="1"/>
  <c r="G384" i="1"/>
  <c r="D30" i="2" s="1"/>
  <c r="F30" i="2" s="1"/>
  <c r="G319" i="1"/>
  <c r="G340" i="1"/>
  <c r="G341" i="1"/>
  <c r="G344" i="1"/>
  <c r="G345" i="1"/>
  <c r="G353" i="1" l="1"/>
  <c r="G360" i="1" s="1"/>
  <c r="G361" i="1" s="1"/>
  <c r="G283" i="1"/>
  <c r="G369" i="1"/>
  <c r="G335" i="1"/>
  <c r="D24" i="2"/>
  <c r="F24" i="2" s="1"/>
  <c r="D20" i="2"/>
  <c r="F20" i="2" s="1"/>
  <c r="D7" i="2"/>
  <c r="D25" i="2"/>
  <c r="F25" i="2" s="1"/>
  <c r="D23" i="2"/>
  <c r="F23" i="2" s="1"/>
  <c r="G141" i="1"/>
  <c r="G140" i="1"/>
  <c r="F116" i="1"/>
  <c r="F115" i="1"/>
  <c r="F7" i="2" l="1"/>
  <c r="D18" i="2"/>
  <c r="F18" i="2" s="1"/>
  <c r="G373" i="1"/>
  <c r="D26" i="2"/>
  <c r="F26" i="2" s="1"/>
  <c r="D28" i="2"/>
  <c r="F28" i="2" s="1"/>
  <c r="G372" i="1"/>
  <c r="D27" i="2"/>
  <c r="F27" i="2" s="1"/>
  <c r="G219" i="1"/>
  <c r="G133" i="1"/>
  <c r="G136" i="1" s="1"/>
  <c r="G143" i="1" s="1"/>
  <c r="G103" i="1"/>
  <c r="G375" i="1" l="1"/>
  <c r="G104" i="1"/>
  <c r="E72" i="1"/>
  <c r="C36" i="1"/>
  <c r="C47" i="1" s="1"/>
  <c r="C65" i="1" s="1"/>
  <c r="C35" i="1"/>
  <c r="C46" i="1" s="1"/>
  <c r="C64" i="1" s="1"/>
  <c r="E43" i="1"/>
  <c r="A13" i="1"/>
  <c r="C115" i="1" l="1"/>
  <c r="G115" i="1" s="1"/>
  <c r="C116" i="1"/>
  <c r="G116" i="1" s="1"/>
  <c r="G291" i="1"/>
  <c r="D29" i="2"/>
  <c r="F29" i="2" s="1"/>
  <c r="C75" i="1"/>
  <c r="C76" i="1"/>
  <c r="A24" i="1"/>
  <c r="A8" i="2"/>
  <c r="D43" i="1"/>
  <c r="G209" i="1"/>
  <c r="C55" i="1"/>
  <c r="C58" i="1" s="1"/>
  <c r="G35" i="1"/>
  <c r="G36" i="1"/>
  <c r="G263" i="1"/>
  <c r="G271" i="1" s="1"/>
  <c r="K16" i="1"/>
  <c r="G38" i="1" l="1"/>
  <c r="G39" i="1" s="1"/>
  <c r="G117" i="1"/>
  <c r="G58" i="1"/>
  <c r="C72" i="1"/>
  <c r="G72" i="1" s="1"/>
  <c r="G43" i="1"/>
  <c r="G272" i="1"/>
  <c r="D17" i="2" s="1"/>
  <c r="F17" i="2" s="1"/>
  <c r="G190" i="1"/>
  <c r="G84" i="1"/>
  <c r="G83" i="1"/>
  <c r="G189" i="1"/>
  <c r="G216" i="1"/>
  <c r="G47" i="1"/>
  <c r="D19" i="2"/>
  <c r="F19" i="2" s="1"/>
  <c r="A9" i="2"/>
  <c r="G46" i="1"/>
  <c r="G127" i="1"/>
  <c r="G215" i="1"/>
  <c r="G64" i="1"/>
  <c r="G126" i="1"/>
  <c r="G65" i="1"/>
  <c r="C56" i="1"/>
  <c r="G55" i="1"/>
  <c r="A41" i="1"/>
  <c r="G129" i="1" l="1"/>
  <c r="G56" i="1"/>
  <c r="G67" i="1" s="1"/>
  <c r="G68" i="1" s="1"/>
  <c r="G107" i="1"/>
  <c r="G109" i="1" s="1"/>
  <c r="G121" i="1" s="1"/>
  <c r="G49" i="1"/>
  <c r="G50" i="1" s="1"/>
  <c r="A11" i="2"/>
  <c r="D10" i="2"/>
  <c r="F10" i="2" s="1"/>
  <c r="G76" i="1"/>
  <c r="G159" i="1"/>
  <c r="G224" i="1"/>
  <c r="G225" i="1"/>
  <c r="G160" i="1"/>
  <c r="G75" i="1"/>
  <c r="A52" i="1"/>
  <c r="G122" i="1" l="1"/>
  <c r="G242" i="1"/>
  <c r="G243" i="1" s="1"/>
  <c r="G162" i="1"/>
  <c r="G94" i="1"/>
  <c r="G95" i="1" s="1"/>
  <c r="G97" i="1" s="1"/>
  <c r="G25" i="1"/>
  <c r="G27" i="1" s="1"/>
  <c r="G28" i="1" s="1"/>
  <c r="A12" i="2"/>
  <c r="D11" i="2"/>
  <c r="F11" i="2" s="1"/>
  <c r="D16" i="2"/>
  <c r="F16" i="2" s="1"/>
  <c r="D8" i="2" l="1"/>
  <c r="F8" i="2" s="1"/>
  <c r="K22" i="1"/>
  <c r="G183" i="1"/>
  <c r="G201" i="1" s="1"/>
  <c r="G204" i="1" s="1"/>
  <c r="D9" i="2" l="1"/>
  <c r="F9" i="2" s="1"/>
  <c r="D14" i="2"/>
  <c r="F14" i="2" s="1"/>
  <c r="D12" i="2" l="1"/>
  <c r="F12" i="2" s="1"/>
  <c r="G205" i="1" l="1"/>
  <c r="F13" i="2" s="1"/>
  <c r="F37" i="2" s="1"/>
  <c r="F40" i="2" l="1"/>
  <c r="F42" i="2" l="1"/>
</calcChain>
</file>

<file path=xl/sharedStrings.xml><?xml version="1.0" encoding="utf-8"?>
<sst xmlns="http://schemas.openxmlformats.org/spreadsheetml/2006/main" count="422" uniqueCount="246">
  <si>
    <t>Detail Quantity Estimate</t>
  </si>
  <si>
    <t>S.N.</t>
  </si>
  <si>
    <t>Description of Works</t>
  </si>
  <si>
    <t xml:space="preserve">No. </t>
  </si>
  <si>
    <t xml:space="preserve">Length </t>
  </si>
  <si>
    <t>Breadth</t>
  </si>
  <si>
    <t>Height</t>
  </si>
  <si>
    <t>Quantity</t>
  </si>
  <si>
    <t>Unit</t>
  </si>
  <si>
    <t>Remarks</t>
  </si>
  <si>
    <t>Earthwork in Excavation</t>
  </si>
  <si>
    <t>Foundation</t>
  </si>
  <si>
    <t>Foundation F1</t>
  </si>
  <si>
    <t>Foundation Tie Beam</t>
  </si>
  <si>
    <t xml:space="preserve">Total Earthwork in Excavation </t>
  </si>
  <si>
    <t>Earthwork in Filling</t>
  </si>
  <si>
    <t>Upto Plinth</t>
  </si>
  <si>
    <t>Total Earthwork in Filling</t>
  </si>
  <si>
    <t>Flat Brick Soling</t>
  </si>
  <si>
    <t>Total Flat Brick Soling</t>
  </si>
  <si>
    <t>Lean Concrete Base (PCC 1:3:6)</t>
  </si>
  <si>
    <t>Total PCC (1:3:6) (Lean Concrete Base)</t>
  </si>
  <si>
    <t>PCC (1:1.5:3) for RCC</t>
  </si>
  <si>
    <t>Trapezoidal</t>
  </si>
  <si>
    <t>Column</t>
  </si>
  <si>
    <t>C1</t>
  </si>
  <si>
    <t>Plinth Tie Beam</t>
  </si>
  <si>
    <t>Total RCC (Upto Plinth)</t>
  </si>
  <si>
    <t>Ground Floor</t>
  </si>
  <si>
    <t>Total RCC (Ground Floor)</t>
  </si>
  <si>
    <t>Total PCC (1:1.5:3) for RCC</t>
  </si>
  <si>
    <t>Formwork</t>
  </si>
  <si>
    <t>Total Formwork</t>
  </si>
  <si>
    <t>Brickwork in 1:6 c/s mortar</t>
  </si>
  <si>
    <t>Total Brickwork (Upto Plinth)</t>
  </si>
  <si>
    <t>Deduce Openings</t>
  </si>
  <si>
    <t>Total Woodwork for Chaukhat</t>
  </si>
  <si>
    <t>Total Woodwork for Door Shutter</t>
  </si>
  <si>
    <t>kg</t>
  </si>
  <si>
    <t>Stirrups</t>
  </si>
  <si>
    <t>Total Reinforcement</t>
  </si>
  <si>
    <t>Reinforcment</t>
  </si>
  <si>
    <t>Abstract of Cost</t>
  </si>
  <si>
    <t>Description of Work</t>
  </si>
  <si>
    <t>Rate</t>
  </si>
  <si>
    <t>Amount</t>
  </si>
  <si>
    <t>cu.m.</t>
  </si>
  <si>
    <t>Sq.m.</t>
  </si>
  <si>
    <t>A</t>
  </si>
  <si>
    <t>Civil Works</t>
  </si>
  <si>
    <t>B</t>
  </si>
  <si>
    <t>Total Civil Works</t>
  </si>
  <si>
    <t>C</t>
  </si>
  <si>
    <t>Site Clearance Work</t>
  </si>
  <si>
    <t xml:space="preserve">Sq.m. </t>
  </si>
  <si>
    <t>First Floor Beam</t>
  </si>
  <si>
    <t>Bands and Stitches</t>
  </si>
  <si>
    <t>Sill Band</t>
  </si>
  <si>
    <t>12mm dia. Bars</t>
  </si>
  <si>
    <t>16mm dia. Bars</t>
  </si>
  <si>
    <t>Column C1</t>
  </si>
  <si>
    <t>Floor Beams</t>
  </si>
  <si>
    <t>First Floor Level</t>
  </si>
  <si>
    <t>Total Foundation</t>
  </si>
  <si>
    <t>Total Plinth Tie Beam</t>
  </si>
  <si>
    <t>Total Column</t>
  </si>
  <si>
    <t>Total Floor Beam</t>
  </si>
  <si>
    <t>8mm dia. Bars</t>
  </si>
  <si>
    <t>Ground and First Floor</t>
  </si>
  <si>
    <t>Total Bands and Stitches</t>
  </si>
  <si>
    <t>Add provision for Lap (10%)</t>
  </si>
  <si>
    <t>Total Floor Beam L-Rebar</t>
  </si>
  <si>
    <t>Total Foundation Tie Beam L-Rebar</t>
  </si>
  <si>
    <t>Total Column Main Bar</t>
  </si>
  <si>
    <t>First Floor Beams</t>
  </si>
  <si>
    <t>6mm dia. Bars</t>
  </si>
  <si>
    <t>Total Bands and Stitches (Main Bar)</t>
  </si>
  <si>
    <t>Doors</t>
  </si>
  <si>
    <t>Door D1</t>
  </si>
  <si>
    <t>Grill Work in Windows and Ventilations</t>
  </si>
  <si>
    <t>Super-Structure</t>
  </si>
  <si>
    <t>9" Wall</t>
  </si>
  <si>
    <t>Floor Finish Works</t>
  </si>
  <si>
    <t>Earth Filling in Ground Floor</t>
  </si>
  <si>
    <t>Flat Brick Soling in Ground Floor</t>
  </si>
  <si>
    <t>38mm thick screed + punning</t>
  </si>
  <si>
    <t>External Plaster</t>
  </si>
  <si>
    <t>Internal Plaster</t>
  </si>
  <si>
    <t>Plaster Work in 1:4 c/s Mortar in Walls</t>
  </si>
  <si>
    <t>Plaster Work in 1:3 c/s Mortar in Ceiling</t>
  </si>
  <si>
    <t>Building and Apron Area</t>
  </si>
  <si>
    <t>Total Site Clearance Work</t>
  </si>
  <si>
    <t>Total Grill Works</t>
  </si>
  <si>
    <t>Total Flat Brick Soling Works</t>
  </si>
  <si>
    <t>Total PCC 1:2:4 Works</t>
  </si>
  <si>
    <t>Total Screed + Punning Works</t>
  </si>
  <si>
    <t>Total Wall Plaster Works</t>
  </si>
  <si>
    <t>Total Ceiling Plaster Works</t>
  </si>
  <si>
    <t>Area of Wall Plaster</t>
  </si>
  <si>
    <t>Two Coat Enamel Paint on Doors and Windows</t>
  </si>
  <si>
    <t>Area of Ceiling Plaster</t>
  </si>
  <si>
    <t>Total Snowcem Paint Works</t>
  </si>
  <si>
    <t>Total Enamel Paint Works</t>
  </si>
  <si>
    <t>Total Brickwork in Superstructure</t>
  </si>
  <si>
    <t>Lintel Band</t>
  </si>
  <si>
    <t>cu.ft.</t>
  </si>
  <si>
    <t>60 % of excavation work</t>
  </si>
  <si>
    <t>sq.ft.</t>
  </si>
  <si>
    <t xml:space="preserve">outer </t>
  </si>
  <si>
    <t>inner</t>
  </si>
  <si>
    <t>up to plinth</t>
  </si>
  <si>
    <t>above plinth</t>
  </si>
  <si>
    <t>1st footing</t>
  </si>
  <si>
    <t>2nd footing</t>
  </si>
  <si>
    <t>3rd footing</t>
  </si>
  <si>
    <t>upto tie beam lvl</t>
  </si>
  <si>
    <t>columns</t>
  </si>
  <si>
    <t>Total</t>
  </si>
  <si>
    <t>MT</t>
  </si>
  <si>
    <t>Kg</t>
  </si>
  <si>
    <t>PCC 1:2:4 in Ground Floor with cemet rubbing</t>
  </si>
  <si>
    <t>Two Coat Distemper Paint on Wall</t>
  </si>
  <si>
    <t xml:space="preserve">Electrical Works </t>
  </si>
  <si>
    <t>Grand Total</t>
  </si>
  <si>
    <t>Grid 1,2 &amp; 3</t>
  </si>
  <si>
    <t>length of bars are in m</t>
  </si>
  <si>
    <t>Door D</t>
  </si>
  <si>
    <t>Window W</t>
  </si>
  <si>
    <t>Column C</t>
  </si>
  <si>
    <t>Grid A,B &amp; C</t>
  </si>
  <si>
    <t>Grid A &amp; C</t>
  </si>
  <si>
    <t>Grid 1 &amp;3</t>
  </si>
  <si>
    <t>Grid 1 &amp; 3</t>
  </si>
  <si>
    <t>Woodwork for  Chaukhat</t>
  </si>
  <si>
    <t>Woodwork for Shutter</t>
  </si>
  <si>
    <t>East &amp; West</t>
  </si>
  <si>
    <t>South &amp; North</t>
  </si>
  <si>
    <t>sq.m.</t>
  </si>
  <si>
    <t>Channel Gate</t>
  </si>
  <si>
    <t>Grid A &amp; B</t>
  </si>
  <si>
    <t>Channel Gate(CG)</t>
  </si>
  <si>
    <t>4" Wall</t>
  </si>
  <si>
    <t>Window W1</t>
  </si>
  <si>
    <t>Hall</t>
  </si>
  <si>
    <t>sq.ft</t>
  </si>
  <si>
    <t>Making Iron Gate</t>
  </si>
  <si>
    <t>Foundation Beam</t>
  </si>
  <si>
    <t>Stirrups for foundation and Plinth Beam</t>
  </si>
  <si>
    <t>Deduction</t>
  </si>
  <si>
    <t>Office</t>
  </si>
  <si>
    <t>Store</t>
  </si>
  <si>
    <t>Passage</t>
  </si>
  <si>
    <t>Metal Truss</t>
  </si>
  <si>
    <t>Making black pipe tubular truss and fixing</t>
  </si>
  <si>
    <t>Member (50.8x50.8x2)</t>
  </si>
  <si>
    <t>3.08kg/m</t>
  </si>
  <si>
    <t>Web Member (50.8x50.8x2)</t>
  </si>
  <si>
    <t>2.21kg/m</t>
  </si>
  <si>
    <t>Total black pipe tubular truss and fixing</t>
  </si>
  <si>
    <t>kg.</t>
  </si>
  <si>
    <t>Making black pipe tubular purlin and fixing</t>
  </si>
  <si>
    <t>purlin (38.1x38.1x2)</t>
  </si>
  <si>
    <t>angle cleat (35x35x3)</t>
  </si>
  <si>
    <t>1.6kg/m</t>
  </si>
  <si>
    <t>Total black pipe tubular purlin making and fixing</t>
  </si>
  <si>
    <t>CGI sheet roofing works with supply of materials complete</t>
  </si>
  <si>
    <t>CGI Sheet (60kg/bundle)</t>
  </si>
  <si>
    <t>Total CGI Sheet roofing works</t>
  </si>
  <si>
    <t>sq.m</t>
  </si>
  <si>
    <t>Making ridge of GI plain sheets and fittings with supply of materials complete</t>
  </si>
  <si>
    <t>GI plain sheet ridge (26gauge plain sheet)</t>
  </si>
  <si>
    <t>Total GI plain sheet ridge works</t>
  </si>
  <si>
    <t>Rm</t>
  </si>
  <si>
    <t>Project: Cooperative House, Lele</t>
  </si>
  <si>
    <t>Date: March, 2017</t>
  </si>
  <si>
    <t>LS</t>
  </si>
  <si>
    <t>Sq.m</t>
  </si>
  <si>
    <t>Sanitary</t>
  </si>
  <si>
    <t>Project : Construction of School Block (Brick masonry with C/S mortar, Tubular Frame truss)</t>
  </si>
  <si>
    <t>Dry Brick Soling</t>
  </si>
  <si>
    <t>RM</t>
  </si>
  <si>
    <t>Semi Solid Distemper paint on wall</t>
  </si>
  <si>
    <t xml:space="preserve">            BILL OF QUANTITY</t>
  </si>
  <si>
    <t>Item No.</t>
  </si>
  <si>
    <t xml:space="preserve">Description </t>
  </si>
  <si>
    <t>Rate (NRs.)</t>
  </si>
  <si>
    <t>SITE CLEARANCE AND LAYOUT</t>
  </si>
  <si>
    <r>
      <t xml:space="preserve">Clearing the site by </t>
    </r>
    <r>
      <rPr>
        <b/>
        <sz val="10"/>
        <rFont val="Century Gothic"/>
        <family val="2"/>
      </rPr>
      <t>removing the bushes, trees, concrete pavement and hard surface whatever at site up to its root depth</t>
    </r>
    <r>
      <rPr>
        <sz val="10"/>
        <rFont val="Century Gothic"/>
        <family val="2"/>
      </rPr>
      <t xml:space="preserve"> including the layout work, marking the trench, construction of permanent reference points along each grid precisely  in line and level and including construction of</t>
    </r>
    <r>
      <rPr>
        <b/>
        <sz val="10"/>
        <rFont val="Century Gothic"/>
        <family val="2"/>
      </rPr>
      <t xml:space="preserve"> all necessary staff and labor facilities.</t>
    </r>
  </si>
  <si>
    <t>EARTHWORK IN EXCAVATION</t>
  </si>
  <si>
    <r>
      <t xml:space="preserve">Earth work in excavation in  foundation trenches, in any kind of soils (soft &amp; hard dis-integrated rock, but excluding hard rock), </t>
    </r>
    <r>
      <rPr>
        <b/>
        <sz val="10"/>
        <rFont val="Century Gothic"/>
        <family val="2"/>
      </rPr>
      <t>including lift and stacking the excavated material at least 1m from the edge of foundation</t>
    </r>
    <r>
      <rPr>
        <sz val="10"/>
        <rFont val="Century Gothic"/>
        <family val="2"/>
      </rPr>
      <t>, dressing of sides, ramming of bottom and disposal of the excess material from the site as per drawing, specification and direction of the Engineer, all complete.</t>
    </r>
  </si>
  <si>
    <t>M3</t>
  </si>
  <si>
    <t>EARTHBACK FILLING</t>
  </si>
  <si>
    <r>
      <t xml:space="preserve">Earth work in filling in foundation trenches and floor </t>
    </r>
    <r>
      <rPr>
        <b/>
        <sz val="10"/>
        <rFont val="Century Gothic"/>
        <family val="2"/>
      </rPr>
      <t>with  excavated and soil transported from out side of the site if excavated soil is insufficient</t>
    </r>
    <r>
      <rPr>
        <sz val="10"/>
        <rFont val="Century Gothic"/>
        <family val="2"/>
      </rPr>
      <t xml:space="preserve"> or inapproprate as declaimed by the Engineer, including machine compaction in </t>
    </r>
    <r>
      <rPr>
        <b/>
        <sz val="10"/>
        <rFont val="Century Gothic"/>
        <family val="2"/>
      </rPr>
      <t xml:space="preserve">150mm layer by layer </t>
    </r>
    <r>
      <rPr>
        <sz val="10"/>
        <rFont val="Century Gothic"/>
        <family val="2"/>
      </rPr>
      <t xml:space="preserve">as per the specification and direction of the Engineer, all complete. </t>
    </r>
  </si>
  <si>
    <t>Dry brick soling in trenches and floor as per specification and direction of the Engineer, all complete.</t>
  </si>
  <si>
    <t>M2</t>
  </si>
  <si>
    <t>CEMENT CONCRETE WORKS</t>
  </si>
  <si>
    <t xml:space="preserve">M10 </t>
  </si>
  <si>
    <r>
      <rPr>
        <b/>
        <sz val="10"/>
        <rFont val="Century Gothic"/>
        <family val="2"/>
      </rPr>
      <t>100mm thick</t>
    </r>
    <r>
      <rPr>
        <sz val="10"/>
        <rFont val="Century Gothic"/>
        <family val="2"/>
      </rPr>
      <t xml:space="preserve"> P.C.C.(1:3:6) (M10 ) work for levelling in foundation trench with approved quality of cement and sand and crushed stone aggregate including mixing (by using mixture machine), laying, curing etc all as per instruction and specification all complete.</t>
    </r>
  </si>
  <si>
    <t>M20</t>
  </si>
  <si>
    <r>
      <t>Providing, mixing, laying and compacting Plain Cement Concrete of M-20 grade with approved quality of cement, sand and crushed coarse aggregates of  20 mm to 8mm gauge, in 1:1.5:3 ratio  for different kinds of  RCC works in foundation pads, columns, beams, staircases, sill, lintel and tie band and slabs from foundation level to roof at any height in perfect line level, as per drawings, specification and direction of the Engineer, all complete.</t>
    </r>
    <r>
      <rPr>
        <b/>
        <sz val="10"/>
        <rFont val="Century Gothic"/>
        <family val="2"/>
      </rPr>
      <t xml:space="preserve"> </t>
    </r>
  </si>
  <si>
    <t>REINFORCEMENT</t>
  </si>
  <si>
    <r>
      <rPr>
        <b/>
        <sz val="10"/>
        <rFont val="Century Gothic"/>
        <family val="2"/>
      </rPr>
      <t xml:space="preserve">TMT reinforcement bar of 415 grade </t>
    </r>
    <r>
      <rPr>
        <sz val="10"/>
        <rFont val="Century Gothic"/>
        <family val="2"/>
      </rPr>
      <t xml:space="preserve">including straightening, cleaning, cutting, bending, binding with </t>
    </r>
    <r>
      <rPr>
        <b/>
        <sz val="10"/>
        <rFont val="Century Gothic"/>
        <family val="2"/>
      </rPr>
      <t>20 SWG annealed  wire</t>
    </r>
    <r>
      <rPr>
        <sz val="10"/>
        <rFont val="Century Gothic"/>
        <family val="2"/>
      </rPr>
      <t xml:space="preserve"> &amp; fixing in position as per drawing, bar bending schedule for raft foundation column, beam, wall, sill, lintel and tie band, stair, slab in all R.C.C. works including nominal reinforcement in PCC flooring, as per specification, drawing &amp; instruction of the Engineer, all complete. </t>
    </r>
  </si>
  <si>
    <t>KG</t>
  </si>
  <si>
    <t>BRICK WORK</t>
  </si>
  <si>
    <t>BRICK WORK IN SUB STRUCTURE</t>
  </si>
  <si>
    <t>Providing and laying   first class, "Down Draught Hoffman Kiln" fired  local bricks in 10mm thick cement sand mortar (1:6) in foundation and upto plinth level, including cost of  soaking of bricks in water, provision for recesses, openings, toothings, scaffolding, curing  filling and raking out joints wherever required, using approved size and quality bricks, all complete as per drawings, specifications and the instruction of site engineer.</t>
  </si>
  <si>
    <t>BRICK WORK IN SUPER STRUCTURE</t>
  </si>
  <si>
    <t>Providing and laying brickwork of all thickness in 10mm thick cement, sand mortar (1:6) using approved quality first class, "Down Draught Hoffman Kiln" fired  local bricks including soaking of bricks in water, provision for recesses, openings, toothings, curing, raking of joints in perfect line and level. The masonry to be laid with fair face from external side, all complete as per drawings, specifications and the instruction of site engineer.</t>
  </si>
  <si>
    <t>FORMWORKS</t>
  </si>
  <si>
    <r>
      <t xml:space="preserve">Providing, fitting and fixing standard form works with </t>
    </r>
    <r>
      <rPr>
        <b/>
        <sz val="10"/>
        <rFont val="Century Gothic"/>
        <family val="2"/>
      </rPr>
      <t>18mm shuttering ply wood / steel forms/ timber</t>
    </r>
    <r>
      <rPr>
        <sz val="10"/>
        <rFont val="Century Gothic"/>
        <family val="2"/>
      </rPr>
      <t xml:space="preserve"> for all kinds of  RCC works including all necessary props, bracings, wedges and nails etc at any height  including making provisions for inserting wall ties and removal of form works, as per drawings, specifications and direction of the Engineer, all complete.</t>
    </r>
  </si>
  <si>
    <t>DOOR AND WINDOW WORKS</t>
  </si>
  <si>
    <t>DOOR AND WINDOWS SHUTTER WORKS</t>
  </si>
  <si>
    <t>9.1.1</t>
  </si>
  <si>
    <t>GALVANISED DOOR AND GRILL</t>
  </si>
  <si>
    <t>Supplying and fixing Galvanised  Metal Door made of 50mmx50mmx5mm  Galvanised Angle section Frame,40mmx40mmx5mm and 40mmx40mmx3mm Galvanised  Angle section panel Frame , 50mmx5mm Galvanised  Strip along with 1mm thick Plain Gi Sheet including 3 nos of 150mm Steel hinges, 1 no of door SS  stopper ,2 nos of 150mm SS Tower bolt, 1 no of 150mm SS Handle, 1 no of 250mm SS Aldrop, 12 nos of 1" self threading SS Screw and RVET @125 mm C/C as per drawings, specification and instruction of the Engineer, all complete.</t>
  </si>
  <si>
    <t>9.1.2</t>
  </si>
  <si>
    <t>GALVANISED WINDOW AND GRILL</t>
  </si>
  <si>
    <t>Supplying and fixing Galvanised  Metal Window made of 40mmx40mmx3mm  Galvanised Angle section Frame,25mmx25mmx3mm Galvanised  Angle section panel Frame , 20mmx5mm Galvanised  Strip along with 0.8mm thick Plain Gi Sheet including 4 nos of 100mm Steel hinges, 2 nos of window SS  eye hook ,4 nos of 100mm SS Tower bolt, 2 nos of 100mm SS Handle,14 nos of 1" self threading SS Screw and RVET @125 mm C/C as per drawings, specification and instruction of the Engineer, all complete.</t>
  </si>
  <si>
    <t>DOOR AND WINDOWS FRAME WORKS</t>
  </si>
  <si>
    <t>STRUCTURAL STEEL</t>
  </si>
  <si>
    <t>Roofing works</t>
  </si>
  <si>
    <r>
      <rPr>
        <b/>
        <sz val="10"/>
        <rFont val="Century Gothic"/>
        <family val="2"/>
      </rPr>
      <t>Colour Coated CGI Sheet Works: .41mm  CGI sheet</t>
    </r>
    <r>
      <rPr>
        <sz val="10"/>
        <rFont val="Century Gothic"/>
        <family val="2"/>
      </rPr>
      <t xml:space="preserve"> (red coloured) roofing including fixing in proper shape &amp; size with all necessary rails, screws, bolts &amp; nuts washers, J &amp; L hocks etc </t>
    </r>
    <r>
      <rPr>
        <b/>
        <sz val="10"/>
        <rFont val="Century Gothic"/>
        <family val="2"/>
      </rPr>
      <t>(everything should be galvanised)</t>
    </r>
    <r>
      <rPr>
        <sz val="10"/>
        <rFont val="Century Gothic"/>
        <family val="2"/>
      </rPr>
      <t xml:space="preserve"> as per drawing &amp; instruction of the Engineer, all complete.</t>
    </r>
  </si>
  <si>
    <r>
      <rPr>
        <b/>
        <sz val="10"/>
        <rFont val="Century Gothic"/>
        <family val="2"/>
      </rPr>
      <t>Colour Coated Ridge Works:</t>
    </r>
    <r>
      <rPr>
        <sz val="10"/>
        <rFont val="Century Gothic"/>
        <family val="2"/>
      </rPr>
      <t xml:space="preserve"> </t>
    </r>
    <r>
      <rPr>
        <b/>
        <sz val="10"/>
        <rFont val="Century Gothic"/>
        <family val="2"/>
      </rPr>
      <t>24 guage, 2 ft wide colour coated Rigde  sheet</t>
    </r>
    <r>
      <rPr>
        <sz val="10"/>
        <rFont val="Century Gothic"/>
        <family val="2"/>
      </rPr>
      <t xml:space="preserve">  (red coloured) including fixing in proper shape &amp; size with all necessary rails, screws, bolts &amp; nuts washers, J &amp; L hocks etc </t>
    </r>
    <r>
      <rPr>
        <b/>
        <sz val="10"/>
        <rFont val="Century Gothic"/>
        <family val="2"/>
      </rPr>
      <t>(everything should be galvanised)</t>
    </r>
    <r>
      <rPr>
        <sz val="10"/>
        <rFont val="Century Gothic"/>
        <family val="2"/>
      </rPr>
      <t xml:space="preserve"> as per drawing &amp; instruction of the Engineer, all complete.</t>
    </r>
  </si>
  <si>
    <r>
      <rPr>
        <b/>
        <sz val="10"/>
        <rFont val="Century Gothic"/>
        <family val="2"/>
      </rPr>
      <t>Translucent Sheet:</t>
    </r>
    <r>
      <rPr>
        <sz val="10"/>
        <rFont val="Century Gothic"/>
        <family val="2"/>
      </rPr>
      <t xml:space="preserve"> Supplying and installing Translucent sheet on front and back side of block as per drawings, specification and instruction of the Engineer, all complete.</t>
    </r>
  </si>
  <si>
    <r>
      <rPr>
        <b/>
        <sz val="10"/>
        <rFont val="Century Gothic"/>
        <family val="2"/>
      </rPr>
      <t>False Ceiling:</t>
    </r>
    <r>
      <rPr>
        <sz val="10"/>
        <rFont val="Century Gothic"/>
        <family val="2"/>
      </rPr>
      <t xml:space="preserve"> Supplying and installing false ceiling system made of </t>
    </r>
    <r>
      <rPr>
        <b/>
        <sz val="10"/>
        <rFont val="Century Gothic"/>
        <family val="2"/>
      </rPr>
      <t>PLYWOOD</t>
    </r>
    <r>
      <rPr>
        <sz val="10"/>
        <rFont val="Century Gothic"/>
        <family val="2"/>
      </rPr>
      <t xml:space="preserve"> of 8mm thickness </t>
    </r>
    <r>
      <rPr>
        <sz val="10"/>
        <rFont val="Century Gothic"/>
        <family val="2"/>
      </rPr>
      <t xml:space="preserve"> as per drawings, specification and instruction of the Engineer, all complete.</t>
    </r>
  </si>
  <si>
    <t>PLASTER WORK</t>
  </si>
  <si>
    <t>12mm thick cement plaster work Outside of Room</t>
  </si>
  <si>
    <t>Providing, laying &amp; curing 12 mm thick cement sand (1:4) plastering on RCC column, beam  surfaces including chipping &amp; wetting the concrete surfaces finished in perfect plumb,  lines and level as per drawings, specifications and instructions of the Engineer, all complete.</t>
  </si>
  <si>
    <t>12mm thick cement plaster work Inside of Room</t>
  </si>
  <si>
    <t>Prosiding Ready made plastic emulsion paint double coating (with one coat primer), as per drawings, specification and instruction of the Engineer, all complete.</t>
  </si>
  <si>
    <t>One coat of Primer and two coat of clearseal XT paint</t>
  </si>
  <si>
    <t>Prosiding One coat of Primer and two coat of clearseal XT paint, as per drawings, specification and instruction of the Engineer, all complete.</t>
  </si>
  <si>
    <t>Enamel Paint on Door and windows Shutter/Frame</t>
  </si>
  <si>
    <t>Prosiding Enamel Paint on Door and windows Shutter/Frame as per drawings, specification and instruction of the Engineer, all complete.</t>
  </si>
  <si>
    <t>FLOOR FINISHING</t>
  </si>
  <si>
    <t>Earth Filling</t>
  </si>
  <si>
    <r>
      <t xml:space="preserve">Supplying and filling stone boulder in flooring with compaction including voids filling with sand, of </t>
    </r>
    <r>
      <rPr>
        <b/>
        <sz val="10"/>
        <rFont val="Century Gothic"/>
        <family val="2"/>
      </rPr>
      <t>150mm  depth</t>
    </r>
    <r>
      <rPr>
        <sz val="10"/>
        <rFont val="Century Gothic"/>
        <family val="2"/>
      </rPr>
      <t xml:space="preserve"> over compacted earth including compaction using mechanical compactor with proper watering, as per drawing, specification and instruction of the Engineer, all complete.</t>
    </r>
  </si>
  <si>
    <t>PCC (1:2:4) with nominal reinforcement</t>
  </si>
  <si>
    <r>
      <t xml:space="preserve">Providing, laying, compacting and curing </t>
    </r>
    <r>
      <rPr>
        <b/>
        <sz val="10"/>
        <rFont val="Century Gothic"/>
        <family val="2"/>
      </rPr>
      <t>75mm thick</t>
    </r>
    <r>
      <rPr>
        <sz val="10"/>
        <rFont val="Century Gothic"/>
        <family val="2"/>
      </rPr>
      <t xml:space="preserve">  Plain Cement Concrete M15 (1:2:4) with (nominal reinforcement quantity is in item number 7, here above)  sand and stone ballast 20mm gauge finishing to approved level, lines and dimensions (after laying conduits for electrical works) on floor of rooms and lobby, as per drawings, specifications and instruction of the Engineer, all complete.</t>
    </r>
  </si>
  <si>
    <t>Cement screeding</t>
  </si>
  <si>
    <t>Providing and laying 30mm thick cement screed (1:6) on floor (toilet block) including cleaning and wetting the surface and curing the works, all complete as per drawings, specifications and instruction of the site engineer.</t>
  </si>
  <si>
    <t>3MM THCK CEMENT SAND PUNNING</t>
  </si>
  <si>
    <r>
      <t xml:space="preserve">3mm thick Cement sand punning  (1:1) on </t>
    </r>
    <r>
      <rPr>
        <b/>
        <sz val="10"/>
        <rFont val="Century Gothic"/>
        <family val="2"/>
      </rPr>
      <t xml:space="preserve">floor slab and four vertical Reinforced concrete walls of water tank, kitchen slab and open terrace and also from ground level upto plinth beam  surfaces,  </t>
    </r>
    <r>
      <rPr>
        <sz val="10"/>
        <rFont val="Century Gothic"/>
        <family val="2"/>
      </rPr>
      <t>including mixing laying and  rubbing with steel trowel  to a hard smooth and shining surface and curing as per specification and instruction all complete.</t>
    </r>
  </si>
  <si>
    <t>500 Micron polythene sheet</t>
  </si>
  <si>
    <r>
      <t xml:space="preserve">Supplying and laying 500micron tear proof good quality polythene above the compacted boulder stone. The </t>
    </r>
    <r>
      <rPr>
        <b/>
        <sz val="10"/>
        <rFont val="Century Gothic"/>
        <family val="2"/>
      </rPr>
      <t xml:space="preserve">overlaping of the sheet must be more than 230mm in all side </t>
    </r>
    <r>
      <rPr>
        <sz val="10"/>
        <rFont val="Century Gothic"/>
        <family val="2"/>
      </rPr>
      <t>to prevent moisture throught it. The cost should be inclusive of all material and labor cost, as per design drawing, specification and instruction of the Engineer, all complete.</t>
    </r>
  </si>
  <si>
    <t>Grand Total Amount(NPR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</si>
</sst>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Red]#,##0.00"/>
    <numFmt numFmtId="165" formatCode="0.000"/>
    <numFmt numFmtId="166" formatCode="0.0"/>
    <numFmt numFmtId="167" formatCode="General_)"/>
    <numFmt numFmtId="168" formatCode="#,##0.0_);\(#,##0.0\)"/>
  </numFmts>
  <fonts count="28">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0"/>
      <name val="Arial"/>
      <family val="2"/>
    </font>
    <font>
      <sz val="10"/>
      <name val="Arial"/>
      <family val="2"/>
    </font>
    <font>
      <b/>
      <sz val="16"/>
      <color theme="1"/>
      <name val="Calibri"/>
      <family val="2"/>
      <scheme val="minor"/>
    </font>
    <font>
      <sz val="11"/>
      <color theme="1"/>
      <name val="Calibri"/>
      <family val="2"/>
      <scheme val="minor"/>
    </font>
    <font>
      <sz val="10"/>
      <name val="Arial"/>
    </font>
    <font>
      <sz val="22"/>
      <name val="Plantagenet Cherokee"/>
      <family val="1"/>
    </font>
    <font>
      <sz val="11"/>
      <color indexed="8"/>
      <name val="Calibri"/>
      <family val="2"/>
    </font>
    <font>
      <sz val="10"/>
      <name val="Courier"/>
      <family val="3"/>
    </font>
    <font>
      <sz val="10"/>
      <name val="Times New Roman"/>
      <family val="1"/>
    </font>
    <font>
      <b/>
      <sz val="14"/>
      <name val="Times New Roman"/>
      <family val="1"/>
    </font>
    <font>
      <sz val="14"/>
      <name val="Times New Roman"/>
      <family val="1"/>
    </font>
    <font>
      <b/>
      <sz val="10"/>
      <name val="Times New Roman"/>
      <family val="1"/>
    </font>
    <font>
      <b/>
      <sz val="11"/>
      <name val="Century Gothic"/>
      <family val="2"/>
    </font>
    <font>
      <sz val="11"/>
      <name val="Times New Roman"/>
      <family val="1"/>
    </font>
    <font>
      <b/>
      <sz val="14"/>
      <name val="Century Gothic"/>
      <family val="2"/>
    </font>
    <font>
      <sz val="12"/>
      <name val="Times New Roman"/>
      <family val="1"/>
    </font>
    <font>
      <b/>
      <sz val="12"/>
      <name val="Century Gothic"/>
      <family val="2"/>
    </font>
    <font>
      <sz val="10"/>
      <name val="Century Gothic"/>
      <family val="2"/>
    </font>
    <font>
      <b/>
      <sz val="10"/>
      <name val="Century Gothic"/>
      <family val="2"/>
    </font>
    <font>
      <sz val="12"/>
      <name val="Century Gothic"/>
      <family val="2"/>
    </font>
    <font>
      <sz val="11"/>
      <name val="Century Gothic"/>
      <family val="2"/>
    </font>
    <font>
      <sz val="9"/>
      <name val="Century Gothic"/>
      <family val="2"/>
    </font>
    <font>
      <sz val="16"/>
      <name val="Trebuchet MS"/>
      <family val="2"/>
    </font>
    <font>
      <sz val="13"/>
      <name val="Trebuchet MS"/>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dashed">
        <color auto="1"/>
      </left>
      <right style="dashed">
        <color auto="1"/>
      </right>
      <top style="dashed">
        <color auto="1"/>
      </top>
      <bottom style="dashed">
        <color auto="1"/>
      </bottom>
      <diagonal/>
    </border>
    <border>
      <left style="thin">
        <color indexed="64"/>
      </left>
      <right style="thin">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ashed">
        <color auto="1"/>
      </left>
      <right/>
      <top style="dashed">
        <color auto="1"/>
      </top>
      <bottom/>
      <diagonal/>
    </border>
    <border>
      <left style="dotted">
        <color indexed="64"/>
      </left>
      <right style="dashed">
        <color auto="1"/>
      </right>
      <top style="dashed">
        <color auto="1"/>
      </top>
      <bottom/>
      <diagonal/>
    </border>
    <border>
      <left/>
      <right style="dashed">
        <color auto="1"/>
      </right>
      <top style="dashed">
        <color auto="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
    <xf numFmtId="0" fontId="0" fillId="0" borderId="0"/>
    <xf numFmtId="43" fontId="7"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xf numFmtId="43" fontId="7" fillId="0" borderId="0" applyFont="0" applyFill="0" applyBorder="0" applyAlignment="0" applyProtection="0"/>
    <xf numFmtId="43" fontId="10" fillId="0" borderId="0" applyFont="0" applyFill="0" applyBorder="0" applyAlignment="0" applyProtection="0"/>
    <xf numFmtId="0" fontId="11" fillId="0" borderId="0"/>
  </cellStyleXfs>
  <cellXfs count="313">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xf>
    <xf numFmtId="2" fontId="0" fillId="0" borderId="1" xfId="0" applyNumberFormat="1" applyBorder="1" applyAlignment="1">
      <alignment horizontal="right" vertical="center"/>
    </xf>
    <xf numFmtId="0" fontId="0" fillId="0" borderId="1" xfId="0" applyBorder="1" applyAlignment="1">
      <alignment vertical="center"/>
    </xf>
    <xf numFmtId="164" fontId="0" fillId="0" borderId="1" xfId="0" applyNumberFormat="1" applyBorder="1" applyAlignment="1">
      <alignment horizontal="right" vertical="center"/>
    </xf>
    <xf numFmtId="4" fontId="0" fillId="0" borderId="1" xfId="0" applyNumberForma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4" fontId="0" fillId="0" borderId="0" xfId="0" applyNumberFormat="1" applyAlignment="1">
      <alignment vertical="center"/>
    </xf>
    <xf numFmtId="0" fontId="0" fillId="0" borderId="0" xfId="0" applyBorder="1" applyAlignment="1">
      <alignment horizontal="center" vertical="center"/>
    </xf>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left" vertical="center"/>
    </xf>
    <xf numFmtId="2" fontId="0" fillId="0" borderId="1" xfId="0" applyNumberFormat="1" applyBorder="1" applyAlignment="1">
      <alignment horizontal="right" vertical="center"/>
    </xf>
    <xf numFmtId="0" fontId="1" fillId="0" borderId="1" xfId="0" applyFont="1" applyBorder="1" applyAlignment="1">
      <alignment horizontal="left" vertical="center"/>
    </xf>
    <xf numFmtId="2" fontId="1" fillId="0" borderId="1" xfId="0" applyNumberFormat="1" applyFont="1" applyBorder="1" applyAlignment="1">
      <alignment horizontal="right" vertical="center"/>
    </xf>
    <xf numFmtId="4" fontId="0" fillId="0" borderId="1" xfId="0" applyNumberFormat="1" applyBorder="1" applyAlignment="1">
      <alignment horizontal="right" vertical="center"/>
    </xf>
    <xf numFmtId="0" fontId="1" fillId="0" borderId="0" xfId="0" applyFont="1" applyBorder="1" applyAlignment="1">
      <alignment horizontal="left" vertical="center"/>
    </xf>
    <xf numFmtId="2" fontId="0" fillId="0" borderId="0" xfId="0" applyNumberFormat="1" applyBorder="1" applyAlignment="1">
      <alignment horizontal="right" vertical="center" indent="1"/>
    </xf>
    <xf numFmtId="165" fontId="0" fillId="0" borderId="0" xfId="0" applyNumberFormat="1" applyBorder="1" applyAlignment="1">
      <alignment horizontal="right" vertical="center" indent="1"/>
    </xf>
    <xf numFmtId="0" fontId="0" fillId="0" borderId="0" xfId="0" applyBorder="1" applyAlignment="1">
      <alignment horizontal="left" vertical="center"/>
    </xf>
    <xf numFmtId="4" fontId="1" fillId="0" borderId="1" xfId="0" applyNumberFormat="1" applyFont="1" applyBorder="1" applyAlignment="1">
      <alignment horizontal="right" vertical="center"/>
    </xf>
    <xf numFmtId="164" fontId="1" fillId="0" borderId="1" xfId="0" applyNumberFormat="1" applyFont="1" applyBorder="1" applyAlignment="1">
      <alignment horizontal="right" vertical="center"/>
    </xf>
    <xf numFmtId="165" fontId="0" fillId="0" borderId="1" xfId="0" applyNumberFormat="1" applyFill="1" applyBorder="1" applyAlignment="1">
      <alignment horizontal="right" vertical="center" inden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indent="3"/>
    </xf>
    <xf numFmtId="2" fontId="3" fillId="0" borderId="1" xfId="0" applyNumberFormat="1" applyFont="1" applyFill="1" applyBorder="1" applyAlignment="1">
      <alignment horizontal="right" vertical="center" indent="1"/>
    </xf>
    <xf numFmtId="2" fontId="3" fillId="0" borderId="1" xfId="0" applyNumberFormat="1" applyFont="1" applyFill="1" applyBorder="1" applyAlignment="1">
      <alignment horizontal="right" vertical="center"/>
    </xf>
    <xf numFmtId="2" fontId="3" fillId="0" borderId="1" xfId="0" applyNumberFormat="1" applyFont="1" applyFill="1" applyBorder="1" applyAlignment="1">
      <alignment horizontal="left" vertical="center"/>
    </xf>
    <xf numFmtId="0" fontId="3" fillId="0" borderId="0" xfId="0" applyFont="1" applyFill="1"/>
    <xf numFmtId="2" fontId="1" fillId="0" borderId="1" xfId="0" applyNumberFormat="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indent="3"/>
    </xf>
    <xf numFmtId="2" fontId="0" fillId="0" borderId="1" xfId="0" applyNumberFormat="1" applyFill="1" applyBorder="1" applyAlignment="1">
      <alignment horizontal="right" vertical="center" indent="1"/>
    </xf>
    <xf numFmtId="2" fontId="0" fillId="0" borderId="1" xfId="0" applyNumberFormat="1" applyFill="1" applyBorder="1" applyAlignment="1">
      <alignment horizontal="right" vertical="center"/>
    </xf>
    <xf numFmtId="0" fontId="0" fillId="0" borderId="1" xfId="0" applyFill="1" applyBorder="1" applyAlignment="1">
      <alignment horizontal="left" vertical="center"/>
    </xf>
    <xf numFmtId="0" fontId="0" fillId="0" borderId="0" xfId="0" applyFill="1"/>
    <xf numFmtId="0" fontId="0" fillId="0" borderId="3" xfId="0" applyBorder="1" applyAlignment="1">
      <alignment horizontal="center" vertical="center"/>
    </xf>
    <xf numFmtId="0" fontId="1" fillId="0" borderId="3" xfId="0" applyFont="1" applyBorder="1" applyAlignment="1">
      <alignment horizontal="left" vertical="center"/>
    </xf>
    <xf numFmtId="2" fontId="1" fillId="0" borderId="3" xfId="0" applyNumberFormat="1" applyFont="1" applyBorder="1" applyAlignment="1">
      <alignment horizontal="right" vertical="center"/>
    </xf>
    <xf numFmtId="164" fontId="1" fillId="0" borderId="3" xfId="0" applyNumberFormat="1" applyFont="1" applyBorder="1" applyAlignment="1">
      <alignment horizontal="right" vertical="center"/>
    </xf>
    <xf numFmtId="4" fontId="1" fillId="0" borderId="3" xfId="0" applyNumberFormat="1" applyFont="1" applyBorder="1" applyAlignment="1">
      <alignment horizontal="right" vertical="center"/>
    </xf>
    <xf numFmtId="4" fontId="1" fillId="0" borderId="1" xfId="0" applyNumberFormat="1" applyFont="1" applyBorder="1" applyAlignment="1">
      <alignment vertical="center"/>
    </xf>
    <xf numFmtId="0" fontId="0" fillId="0" borderId="1" xfId="0" applyFill="1" applyBorder="1" applyAlignment="1">
      <alignment horizontal="left" vertical="center" wrapText="1"/>
    </xf>
    <xf numFmtId="164" fontId="0" fillId="0" borderId="1" xfId="0" applyNumberFormat="1" applyFill="1" applyBorder="1" applyAlignment="1">
      <alignment horizontal="right" vertical="center"/>
    </xf>
    <xf numFmtId="0" fontId="0" fillId="0" borderId="0" xfId="0" applyFill="1" applyAlignment="1">
      <alignment vertical="center"/>
    </xf>
    <xf numFmtId="165" fontId="0" fillId="0" borderId="1" xfId="0" applyNumberFormat="1" applyFill="1" applyBorder="1" applyAlignment="1">
      <alignment horizontal="right" vertical="center"/>
    </xf>
    <xf numFmtId="2" fontId="1" fillId="0" borderId="0" xfId="0" applyNumberFormat="1" applyFont="1" applyBorder="1" applyAlignment="1">
      <alignment horizontal="right" vertical="center"/>
    </xf>
    <xf numFmtId="164" fontId="1" fillId="0" borderId="0" xfId="0" applyNumberFormat="1" applyFont="1" applyBorder="1" applyAlignment="1">
      <alignment horizontal="right" vertical="center"/>
    </xf>
    <xf numFmtId="4" fontId="1" fillId="0" borderId="0" xfId="0" applyNumberFormat="1" applyFon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horizontal="right" vertical="center"/>
    </xf>
    <xf numFmtId="164" fontId="0" fillId="0" borderId="0" xfId="0" applyNumberFormat="1" applyBorder="1" applyAlignment="1">
      <alignment horizontal="right" vertical="center"/>
    </xf>
    <xf numFmtId="4" fontId="0" fillId="0" borderId="0" xfId="0" applyNumberFormat="1" applyBorder="1" applyAlignment="1">
      <alignment horizontal="right" vertical="center"/>
    </xf>
    <xf numFmtId="0" fontId="0" fillId="0" borderId="0" xfId="0" applyBorder="1" applyAlignment="1">
      <alignment horizontal="left" vertical="center" wrapText="1"/>
    </xf>
    <xf numFmtId="0" fontId="0" fillId="0" borderId="0" xfId="0" applyBorder="1" applyAlignment="1">
      <alignment horizontal="right" vertical="center"/>
    </xf>
    <xf numFmtId="4" fontId="0" fillId="0" borderId="0" xfId="0" applyNumberFormat="1" applyBorder="1" applyAlignment="1">
      <alignment vertical="center"/>
    </xf>
    <xf numFmtId="0" fontId="0" fillId="2" borderId="0" xfId="0" applyFill="1"/>
    <xf numFmtId="0" fontId="4" fillId="0" borderId="21" xfId="0" applyFont="1" applyFill="1" applyBorder="1" applyAlignment="1"/>
    <xf numFmtId="0" fontId="4" fillId="0" borderId="1" xfId="0" applyFont="1" applyFill="1" applyBorder="1" applyAlignment="1"/>
    <xf numFmtId="0" fontId="0" fillId="0" borderId="1" xfId="0" applyFill="1" applyBorder="1" applyAlignment="1">
      <alignment horizontal="left" vertical="center" indent="4"/>
    </xf>
    <xf numFmtId="0" fontId="1" fillId="0" borderId="0" xfId="0" applyFont="1" applyFill="1" applyAlignment="1">
      <alignment horizontal="center" vertical="center"/>
    </xf>
    <xf numFmtId="0" fontId="1" fillId="0" borderId="0" xfId="0" applyFont="1" applyFill="1"/>
    <xf numFmtId="0" fontId="0" fillId="0" borderId="0" xfId="0"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2" fontId="1" fillId="0" borderId="1" xfId="0" applyNumberFormat="1" applyFont="1" applyFill="1" applyBorder="1" applyAlignment="1">
      <alignment horizontal="right" vertical="center" indent="1"/>
    </xf>
    <xf numFmtId="0" fontId="0" fillId="0" borderId="1" xfId="0" applyFill="1" applyBorder="1" applyAlignment="1">
      <alignment horizontal="right" vertical="center"/>
    </xf>
    <xf numFmtId="165" fontId="0" fillId="0" borderId="1" xfId="0" applyNumberFormat="1" applyFill="1" applyBorder="1" applyAlignment="1">
      <alignment horizontal="left" vertical="center"/>
    </xf>
    <xf numFmtId="0" fontId="1" fillId="0" borderId="1" xfId="0" applyFont="1" applyFill="1" applyBorder="1" applyAlignment="1">
      <alignment horizontal="left" vertical="center" indent="3"/>
    </xf>
    <xf numFmtId="165" fontId="1" fillId="0" borderId="1" xfId="0" applyNumberFormat="1" applyFont="1" applyFill="1" applyBorder="1" applyAlignment="1">
      <alignment horizontal="right" vertical="center" indent="1"/>
    </xf>
    <xf numFmtId="165" fontId="1" fillId="0" borderId="1" xfId="0" applyNumberFormat="1" applyFont="1" applyFill="1" applyBorder="1" applyAlignment="1">
      <alignment horizontal="right" vertical="center"/>
    </xf>
    <xf numFmtId="0" fontId="1" fillId="0" borderId="1" xfId="0" applyFont="1" applyFill="1" applyBorder="1" applyAlignment="1">
      <alignment horizontal="left" vertical="center" indent="2"/>
    </xf>
    <xf numFmtId="2" fontId="0" fillId="0" borderId="1" xfId="0" applyNumberFormat="1" applyFill="1" applyBorder="1" applyAlignment="1">
      <alignment horizontal="left" vertical="center"/>
    </xf>
    <xf numFmtId="0" fontId="1" fillId="0" borderId="1" xfId="0" applyFont="1" applyFill="1" applyBorder="1" applyAlignment="1">
      <alignment horizontal="left" indent="2"/>
    </xf>
    <xf numFmtId="0" fontId="0" fillId="0" borderId="1" xfId="0" applyFill="1" applyBorder="1"/>
    <xf numFmtId="0" fontId="0" fillId="0" borderId="1" xfId="0" applyFill="1" applyBorder="1" applyAlignment="1">
      <alignment horizontal="left" indent="3"/>
    </xf>
    <xf numFmtId="165" fontId="0" fillId="0" borderId="1" xfId="0" applyNumberFormat="1" applyFill="1" applyBorder="1"/>
    <xf numFmtId="2" fontId="0" fillId="0" borderId="1" xfId="0" applyNumberFormat="1" applyFill="1" applyBorder="1"/>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2" fontId="0" fillId="0" borderId="0" xfId="0" applyNumberFormat="1" applyFill="1"/>
    <xf numFmtId="0" fontId="2" fillId="0" borderId="1" xfId="0" applyFont="1" applyFill="1" applyBorder="1" applyAlignment="1">
      <alignment horizontal="left" vertical="center" wrapText="1"/>
    </xf>
    <xf numFmtId="0" fontId="0" fillId="0" borderId="0" xfId="0" applyFill="1" applyBorder="1" applyAlignment="1">
      <alignment horizontal="center" vertical="center"/>
    </xf>
    <xf numFmtId="0" fontId="1" fillId="0" borderId="0" xfId="0" applyFont="1" applyFill="1" applyBorder="1" applyAlignment="1">
      <alignment horizontal="left" vertical="center"/>
    </xf>
    <xf numFmtId="2" fontId="0" fillId="0" borderId="0" xfId="0" applyNumberFormat="1" applyFill="1" applyBorder="1" applyAlignment="1">
      <alignment horizontal="right" vertical="center" indent="1"/>
    </xf>
    <xf numFmtId="165" fontId="0" fillId="0" borderId="0" xfId="0" applyNumberFormat="1" applyFill="1" applyBorder="1" applyAlignment="1">
      <alignment horizontal="right" vertical="center" indent="1"/>
    </xf>
    <xf numFmtId="0" fontId="0" fillId="0" borderId="0" xfId="0" applyFill="1" applyBorder="1" applyAlignment="1">
      <alignment horizontal="left" vertical="center"/>
    </xf>
    <xf numFmtId="0" fontId="2" fillId="0" borderId="20" xfId="0" applyFont="1" applyFill="1" applyBorder="1" applyAlignment="1">
      <alignment horizontal="center" vertical="center"/>
    </xf>
    <xf numFmtId="0" fontId="0" fillId="0" borderId="22" xfId="0" applyFill="1" applyBorder="1" applyAlignment="1">
      <alignment horizontal="left" vertical="center"/>
    </xf>
    <xf numFmtId="0" fontId="0" fillId="0" borderId="4" xfId="0" applyFill="1" applyBorder="1" applyAlignment="1">
      <alignment horizontal="left" vertical="center" indent="4"/>
    </xf>
    <xf numFmtId="0" fontId="0" fillId="0" borderId="4" xfId="0" applyFill="1" applyBorder="1" applyAlignment="1">
      <alignment horizontal="center" vertical="center"/>
    </xf>
    <xf numFmtId="165" fontId="0" fillId="0" borderId="4" xfId="0" applyNumberFormat="1" applyFill="1" applyBorder="1" applyAlignment="1">
      <alignment horizontal="center" vertical="center"/>
    </xf>
    <xf numFmtId="2" fontId="0" fillId="0" borderId="4" xfId="0" applyNumberFormat="1" applyFill="1" applyBorder="1" applyAlignment="1">
      <alignment horizontal="right" vertical="center" indent="1"/>
    </xf>
    <xf numFmtId="2" fontId="0" fillId="0" borderId="4" xfId="0" applyNumberFormat="1" applyFill="1" applyBorder="1" applyAlignment="1">
      <alignment horizontal="right" vertical="center"/>
    </xf>
    <xf numFmtId="0" fontId="0" fillId="0" borderId="4" xfId="0" applyFill="1" applyBorder="1" applyAlignment="1">
      <alignment horizontal="left" vertical="center"/>
    </xf>
    <xf numFmtId="0" fontId="0" fillId="0" borderId="3" xfId="0" applyFill="1" applyBorder="1" applyAlignment="1">
      <alignment horizontal="center" vertical="center"/>
    </xf>
    <xf numFmtId="165" fontId="0" fillId="0" borderId="3" xfId="0" applyNumberFormat="1" applyFill="1" applyBorder="1" applyAlignment="1">
      <alignment horizontal="center" vertical="center"/>
    </xf>
    <xf numFmtId="2" fontId="0" fillId="0" borderId="3" xfId="0" applyNumberFormat="1" applyFill="1" applyBorder="1" applyAlignment="1">
      <alignment horizontal="right" vertical="center" indent="1"/>
    </xf>
    <xf numFmtId="2" fontId="0" fillId="0" borderId="23" xfId="0" applyNumberFormat="1" applyFill="1" applyBorder="1" applyAlignment="1">
      <alignment horizontal="right" vertical="center"/>
    </xf>
    <xf numFmtId="0" fontId="0" fillId="0" borderId="24" xfId="0" applyFill="1" applyBorder="1" applyAlignment="1">
      <alignment horizontal="left" vertical="center"/>
    </xf>
    <xf numFmtId="0" fontId="0" fillId="0" borderId="3" xfId="0" applyFill="1" applyBorder="1" applyAlignment="1">
      <alignment horizontal="left" vertical="center"/>
    </xf>
    <xf numFmtId="0" fontId="0" fillId="0" borderId="3" xfId="0" applyFill="1" applyBorder="1" applyAlignment="1">
      <alignment horizontal="left" vertical="center" indent="4"/>
    </xf>
    <xf numFmtId="0" fontId="1" fillId="0" borderId="3" xfId="0" applyFont="1" applyFill="1" applyBorder="1" applyAlignment="1">
      <alignment vertical="center"/>
    </xf>
    <xf numFmtId="0" fontId="0" fillId="0" borderId="25" xfId="0" applyFill="1" applyBorder="1" applyAlignment="1">
      <alignment horizontal="left" vertical="center"/>
    </xf>
    <xf numFmtId="165" fontId="0" fillId="0" borderId="1" xfId="0" applyNumberFormat="1" applyFill="1" applyBorder="1" applyAlignment="1">
      <alignment horizontal="center" vertical="center"/>
    </xf>
    <xf numFmtId="0" fontId="1" fillId="0" borderId="1" xfId="0" applyFont="1" applyFill="1" applyBorder="1" applyAlignment="1">
      <alignment horizontal="left" vertical="center" wrapText="1"/>
    </xf>
    <xf numFmtId="0" fontId="4" fillId="0" borderId="0" xfId="0" applyFont="1" applyFill="1" applyAlignment="1">
      <alignment horizontal="left" wrapText="1"/>
    </xf>
    <xf numFmtId="0" fontId="0" fillId="0" borderId="1" xfId="0" applyFont="1" applyFill="1" applyBorder="1" applyAlignment="1">
      <alignment vertical="center"/>
    </xf>
    <xf numFmtId="0" fontId="1" fillId="0" borderId="1" xfId="0" applyFont="1" applyFill="1" applyBorder="1" applyAlignment="1">
      <alignment horizontal="left" vertical="center" indent="4"/>
    </xf>
    <xf numFmtId="165" fontId="1" fillId="0" borderId="1" xfId="0" applyNumberFormat="1" applyFont="1" applyFill="1" applyBorder="1" applyAlignment="1">
      <alignment horizontal="center" vertical="center"/>
    </xf>
    <xf numFmtId="0" fontId="4" fillId="0" borderId="0" xfId="0" applyFont="1" applyFill="1" applyAlignment="1">
      <alignment horizontal="center" wrapText="1"/>
    </xf>
    <xf numFmtId="43" fontId="1" fillId="0" borderId="1" xfId="1" applyFont="1" applyBorder="1" applyAlignment="1">
      <alignment vertical="center"/>
    </xf>
    <xf numFmtId="0" fontId="12" fillId="0" borderId="0" xfId="5" applyFont="1"/>
    <xf numFmtId="0" fontId="14" fillId="0" borderId="0" xfId="5" applyFont="1"/>
    <xf numFmtId="0" fontId="15" fillId="0" borderId="43" xfId="5" applyFont="1" applyBorder="1" applyAlignment="1"/>
    <xf numFmtId="0" fontId="15" fillId="0" borderId="19" xfId="5" applyFont="1" applyBorder="1" applyAlignment="1">
      <alignment wrapText="1"/>
    </xf>
    <xf numFmtId="0" fontId="15" fillId="0" borderId="44" xfId="5" applyFont="1" applyBorder="1" applyAlignment="1"/>
    <xf numFmtId="0" fontId="15" fillId="0" borderId="44" xfId="5" applyFont="1" applyBorder="1" applyAlignment="1">
      <alignment horizontal="center"/>
    </xf>
    <xf numFmtId="0" fontId="12" fillId="0" borderId="28" xfId="5" applyFont="1" applyBorder="1"/>
    <xf numFmtId="168" fontId="17" fillId="0" borderId="0" xfId="8" applyNumberFormat="1" applyFont="1" applyFill="1" applyBorder="1" applyAlignment="1">
      <alignment vertical="center"/>
    </xf>
    <xf numFmtId="0" fontId="18" fillId="2" borderId="30" xfId="2" applyNumberFormat="1" applyFont="1" applyFill="1" applyBorder="1" applyAlignment="1">
      <alignment horizontal="justify" vertical="top" wrapText="1"/>
    </xf>
    <xf numFmtId="0" fontId="18" fillId="2" borderId="2" xfId="2" applyNumberFormat="1" applyFont="1" applyFill="1" applyBorder="1" applyAlignment="1">
      <alignment horizontal="justify" vertical="top" wrapText="1"/>
    </xf>
    <xf numFmtId="43" fontId="16" fillId="0" borderId="17" xfId="7" applyFont="1" applyFill="1" applyBorder="1" applyAlignment="1" applyProtection="1">
      <alignment horizontal="center" vertical="center"/>
    </xf>
    <xf numFmtId="167" fontId="16" fillId="0" borderId="17" xfId="8" applyNumberFormat="1" applyFont="1" applyFill="1" applyBorder="1" applyAlignment="1" applyProtection="1">
      <alignment horizontal="center"/>
    </xf>
    <xf numFmtId="0" fontId="16" fillId="0" borderId="11" xfId="5" applyFont="1" applyFill="1" applyBorder="1" applyAlignment="1">
      <alignment horizontal="center" vertical="center" wrapText="1"/>
    </xf>
    <xf numFmtId="43" fontId="16" fillId="0" borderId="9" xfId="7" applyFont="1" applyFill="1" applyBorder="1" applyAlignment="1">
      <alignment horizontal="center" vertical="center"/>
    </xf>
    <xf numFmtId="43" fontId="16" fillId="0" borderId="49" xfId="7" applyFont="1" applyFill="1" applyBorder="1" applyAlignment="1">
      <alignment horizontal="center" vertical="center"/>
    </xf>
    <xf numFmtId="0" fontId="19" fillId="0" borderId="47" xfId="5" applyFont="1" applyFill="1" applyBorder="1"/>
    <xf numFmtId="0" fontId="20" fillId="2" borderId="18" xfId="2" applyNumberFormat="1" applyFont="1" applyFill="1" applyBorder="1" applyAlignment="1">
      <alignment horizontal="justify" vertical="top" wrapText="1"/>
    </xf>
    <xf numFmtId="0" fontId="19" fillId="0" borderId="17" xfId="5" applyFont="1" applyFill="1" applyBorder="1"/>
    <xf numFmtId="0" fontId="19" fillId="0" borderId="17" xfId="5" applyFont="1" applyFill="1" applyBorder="1" applyAlignment="1">
      <alignment horizontal="center"/>
    </xf>
    <xf numFmtId="43" fontId="19" fillId="0" borderId="17" xfId="3" applyFont="1" applyFill="1" applyBorder="1"/>
    <xf numFmtId="0" fontId="19" fillId="0" borderId="49" xfId="5" applyFont="1" applyFill="1" applyBorder="1"/>
    <xf numFmtId="0" fontId="19" fillId="0" borderId="0" xfId="5" applyFont="1" applyFill="1" applyBorder="1"/>
    <xf numFmtId="0" fontId="17" fillId="0" borderId="50" xfId="5" applyFont="1" applyFill="1" applyBorder="1"/>
    <xf numFmtId="0" fontId="21" fillId="0" borderId="16" xfId="3" applyNumberFormat="1" applyFont="1" applyFill="1" applyBorder="1" applyAlignment="1">
      <alignment horizontal="justify" vertical="top"/>
    </xf>
    <xf numFmtId="0" fontId="17" fillId="0" borderId="16" xfId="5" applyFont="1" applyFill="1" applyBorder="1"/>
    <xf numFmtId="0" fontId="17" fillId="0" borderId="16" xfId="5" applyFont="1" applyFill="1" applyBorder="1" applyAlignment="1">
      <alignment horizontal="center"/>
    </xf>
    <xf numFmtId="43" fontId="17" fillId="0" borderId="16" xfId="3" applyFont="1" applyFill="1" applyBorder="1"/>
    <xf numFmtId="0" fontId="17" fillId="0" borderId="31" xfId="5" applyFont="1" applyFill="1" applyBorder="1"/>
    <xf numFmtId="0" fontId="17" fillId="0" borderId="0" xfId="5" applyFont="1" applyFill="1"/>
    <xf numFmtId="0" fontId="20" fillId="2" borderId="47" xfId="2" applyFont="1" applyFill="1" applyBorder="1" applyAlignment="1">
      <alignment horizontal="center" vertical="top"/>
    </xf>
    <xf numFmtId="43" fontId="23" fillId="0" borderId="18" xfId="7" applyFont="1" applyFill="1" applyBorder="1" applyAlignment="1">
      <alignment horizontal="center"/>
    </xf>
    <xf numFmtId="0" fontId="23" fillId="0" borderId="18" xfId="5" applyFont="1" applyFill="1" applyBorder="1" applyAlignment="1">
      <alignment horizontal="center"/>
    </xf>
    <xf numFmtId="43" fontId="23" fillId="0" borderId="17" xfId="3" applyFont="1" applyFill="1" applyBorder="1" applyAlignment="1">
      <alignment horizontal="right"/>
    </xf>
    <xf numFmtId="43" fontId="23" fillId="0" borderId="51" xfId="7" applyFont="1" applyFill="1" applyBorder="1" applyAlignment="1">
      <alignment horizontal="right"/>
    </xf>
    <xf numFmtId="0" fontId="22" fillId="0" borderId="50" xfId="2" applyFont="1" applyFill="1" applyBorder="1" applyAlignment="1">
      <alignment horizontal="center" vertical="top"/>
    </xf>
    <xf numFmtId="43" fontId="21" fillId="0" borderId="16" xfId="3" applyFont="1" applyFill="1" applyBorder="1" applyAlignment="1">
      <alignment horizontal="right"/>
    </xf>
    <xf numFmtId="0" fontId="21" fillId="0" borderId="16" xfId="5" applyFont="1" applyFill="1" applyBorder="1" applyAlignment="1">
      <alignment horizontal="center"/>
    </xf>
    <xf numFmtId="2" fontId="12" fillId="0" borderId="16" xfId="5" applyNumberFormat="1" applyFont="1" applyBorder="1"/>
    <xf numFmtId="43" fontId="21" fillId="0" borderId="31" xfId="7" applyFont="1" applyFill="1" applyBorder="1" applyAlignment="1">
      <alignment horizontal="right"/>
    </xf>
    <xf numFmtId="0" fontId="20" fillId="2" borderId="52" xfId="2" applyFont="1" applyFill="1" applyBorder="1" applyAlignment="1">
      <alignment horizontal="center" vertical="top"/>
    </xf>
    <xf numFmtId="43" fontId="23" fillId="2" borderId="17" xfId="7" applyFont="1" applyFill="1" applyBorder="1" applyAlignment="1">
      <alignment horizontal="center"/>
    </xf>
    <xf numFmtId="43" fontId="23" fillId="0" borderId="18" xfId="3" applyFont="1" applyFill="1" applyBorder="1" applyAlignment="1">
      <alignment horizontal="right"/>
    </xf>
    <xf numFmtId="0" fontId="12" fillId="0" borderId="17" xfId="5" applyFont="1" applyBorder="1"/>
    <xf numFmtId="43" fontId="12" fillId="0" borderId="18" xfId="3" applyFont="1" applyBorder="1"/>
    <xf numFmtId="0" fontId="20" fillId="0" borderId="52" xfId="2" applyFont="1" applyBorder="1" applyAlignment="1">
      <alignment horizontal="center" vertical="top"/>
    </xf>
    <xf numFmtId="0" fontId="19" fillId="0" borderId="8" xfId="5" applyFont="1" applyFill="1" applyBorder="1"/>
    <xf numFmtId="43" fontId="17" fillId="0" borderId="17" xfId="3" applyFont="1" applyFill="1" applyBorder="1"/>
    <xf numFmtId="43" fontId="23" fillId="0" borderId="29" xfId="7" applyFont="1" applyFill="1" applyBorder="1" applyAlignment="1">
      <alignment horizontal="right"/>
    </xf>
    <xf numFmtId="166" fontId="20" fillId="0" borderId="47" xfId="7" applyNumberFormat="1" applyFont="1" applyFill="1" applyBorder="1" applyAlignment="1">
      <alignment horizontal="center" vertical="top"/>
    </xf>
    <xf numFmtId="0" fontId="22" fillId="2" borderId="18" xfId="3" applyNumberFormat="1" applyFont="1" applyFill="1" applyBorder="1" applyAlignment="1">
      <alignment horizontal="justify" vertical="top"/>
    </xf>
    <xf numFmtId="43" fontId="21" fillId="0" borderId="18" xfId="3" applyFont="1" applyFill="1" applyBorder="1" applyAlignment="1">
      <alignment horizontal="right"/>
    </xf>
    <xf numFmtId="43" fontId="21" fillId="0" borderId="18" xfId="7" applyFont="1" applyFill="1" applyBorder="1" applyAlignment="1">
      <alignment horizontal="center"/>
    </xf>
    <xf numFmtId="0" fontId="17" fillId="0" borderId="11" xfId="5" applyFont="1" applyFill="1" applyBorder="1"/>
    <xf numFmtId="43" fontId="17" fillId="0" borderId="18" xfId="3" applyFont="1" applyFill="1" applyBorder="1"/>
    <xf numFmtId="43" fontId="21" fillId="0" borderId="29" xfId="7" applyFont="1" applyFill="1" applyBorder="1" applyAlignment="1">
      <alignment horizontal="right"/>
    </xf>
    <xf numFmtId="0" fontId="17" fillId="0" borderId="0" xfId="5" applyFont="1" applyFill="1" applyBorder="1"/>
    <xf numFmtId="166" fontId="20" fillId="0" borderId="50" xfId="7" applyNumberFormat="1" applyFont="1" applyFill="1" applyBorder="1" applyAlignment="1">
      <alignment horizontal="center" vertical="top"/>
    </xf>
    <xf numFmtId="0" fontId="21" fillId="2" borderId="16" xfId="5" applyFont="1" applyFill="1" applyBorder="1" applyAlignment="1">
      <alignment horizontal="justify" vertical="center" wrapText="1"/>
    </xf>
    <xf numFmtId="2" fontId="17" fillId="0" borderId="13" xfId="5" applyNumberFormat="1" applyFont="1" applyFill="1" applyBorder="1"/>
    <xf numFmtId="43" fontId="21" fillId="0" borderId="32" xfId="7" applyFont="1" applyFill="1" applyBorder="1" applyAlignment="1">
      <alignment horizontal="right"/>
    </xf>
    <xf numFmtId="0" fontId="21" fillId="2" borderId="0" xfId="5" applyFont="1" applyFill="1" applyBorder="1" applyAlignment="1">
      <alignment horizontal="justify" vertical="center" wrapText="1"/>
    </xf>
    <xf numFmtId="0" fontId="16" fillId="2" borderId="52" xfId="2" applyFont="1" applyFill="1" applyBorder="1" applyAlignment="1">
      <alignment horizontal="center" vertical="top"/>
    </xf>
    <xf numFmtId="0" fontId="16" fillId="2" borderId="17" xfId="2" applyNumberFormat="1" applyFont="1" applyFill="1" applyBorder="1" applyAlignment="1">
      <alignment horizontal="justify" vertical="top" wrapText="1"/>
    </xf>
    <xf numFmtId="43" fontId="24" fillId="0" borderId="17" xfId="3" applyFont="1" applyFill="1" applyBorder="1" applyAlignment="1">
      <alignment horizontal="right"/>
    </xf>
    <xf numFmtId="0" fontId="24" fillId="0" borderId="17" xfId="5" applyFont="1" applyFill="1" applyBorder="1" applyAlignment="1">
      <alignment horizontal="center"/>
    </xf>
    <xf numFmtId="0" fontId="17" fillId="0" borderId="17" xfId="5" applyFont="1" applyFill="1" applyBorder="1"/>
    <xf numFmtId="43" fontId="24" fillId="0" borderId="49" xfId="7" applyFont="1" applyFill="1" applyBorder="1" applyAlignment="1">
      <alignment horizontal="right"/>
    </xf>
    <xf numFmtId="0" fontId="22" fillId="0" borderId="50" xfId="2" applyFont="1" applyBorder="1" applyAlignment="1">
      <alignment horizontal="center" vertical="top"/>
    </xf>
    <xf numFmtId="0" fontId="22" fillId="2" borderId="50" xfId="2" applyFont="1" applyFill="1" applyBorder="1" applyAlignment="1">
      <alignment horizontal="center" vertical="top"/>
    </xf>
    <xf numFmtId="43" fontId="21" fillId="2" borderId="16" xfId="7" applyFont="1" applyFill="1" applyBorder="1" applyAlignment="1">
      <alignment horizontal="center"/>
    </xf>
    <xf numFmtId="43" fontId="21" fillId="0" borderId="16" xfId="7" applyFont="1" applyFill="1" applyBorder="1" applyAlignment="1">
      <alignment horizontal="center"/>
    </xf>
    <xf numFmtId="0" fontId="20" fillId="0" borderId="52" xfId="2" applyFont="1" applyFill="1" applyBorder="1" applyAlignment="1">
      <alignment horizontal="center" vertical="top"/>
    </xf>
    <xf numFmtId="0" fontId="20" fillId="0" borderId="17" xfId="2" applyNumberFormat="1" applyFont="1" applyFill="1" applyBorder="1" applyAlignment="1">
      <alignment horizontal="justify" vertical="top" wrapText="1"/>
    </xf>
    <xf numFmtId="43" fontId="23" fillId="0" borderId="0" xfId="3" applyFont="1" applyFill="1" applyBorder="1" applyAlignment="1">
      <alignment horizontal="right"/>
    </xf>
    <xf numFmtId="0" fontId="16" fillId="0" borderId="47" xfId="2" applyFont="1" applyFill="1" applyBorder="1" applyAlignment="1">
      <alignment horizontal="center" vertical="top"/>
    </xf>
    <xf numFmtId="43" fontId="16" fillId="0" borderId="18" xfId="3" applyNumberFormat="1" applyFont="1" applyFill="1" applyBorder="1" applyAlignment="1">
      <alignment horizontal="left" vertical="top" wrapText="1"/>
    </xf>
    <xf numFmtId="43" fontId="24" fillId="2" borderId="18" xfId="7" applyFont="1" applyFill="1" applyBorder="1" applyAlignment="1">
      <alignment horizontal="center"/>
    </xf>
    <xf numFmtId="0" fontId="24" fillId="0" borderId="18" xfId="5" applyFont="1" applyFill="1" applyBorder="1" applyAlignment="1">
      <alignment horizontal="center"/>
    </xf>
    <xf numFmtId="43" fontId="24" fillId="0" borderId="0" xfId="3" applyFont="1" applyFill="1" applyBorder="1" applyAlignment="1">
      <alignment horizontal="right"/>
    </xf>
    <xf numFmtId="43" fontId="24" fillId="0" borderId="29" xfId="7" applyFont="1" applyFill="1" applyBorder="1" applyAlignment="1">
      <alignment horizontal="right"/>
    </xf>
    <xf numFmtId="0" fontId="22" fillId="0" borderId="47" xfId="2" applyFont="1" applyFill="1" applyBorder="1" applyAlignment="1">
      <alignment horizontal="center" vertical="top"/>
    </xf>
    <xf numFmtId="0" fontId="21" fillId="0" borderId="18" xfId="3" applyNumberFormat="1" applyFont="1" applyFill="1" applyBorder="1" applyAlignment="1">
      <alignment horizontal="justify"/>
    </xf>
    <xf numFmtId="43" fontId="21" fillId="2" borderId="18" xfId="7" applyFont="1" applyFill="1" applyBorder="1" applyAlignment="1">
      <alignment horizontal="center"/>
    </xf>
    <xf numFmtId="0" fontId="21" fillId="0" borderId="18" xfId="5" applyFont="1" applyFill="1" applyBorder="1" applyAlignment="1">
      <alignment horizontal="center"/>
    </xf>
    <xf numFmtId="43" fontId="21" fillId="0" borderId="11" xfId="3" applyFont="1" applyFill="1" applyBorder="1" applyAlignment="1">
      <alignment horizontal="right"/>
    </xf>
    <xf numFmtId="43" fontId="24" fillId="0" borderId="12" xfId="3" applyFont="1" applyFill="1" applyBorder="1" applyAlignment="1">
      <alignment horizontal="right"/>
    </xf>
    <xf numFmtId="43" fontId="24" fillId="0" borderId="51" xfId="7" applyFont="1" applyFill="1" applyBorder="1" applyAlignment="1">
      <alignment horizontal="right"/>
    </xf>
    <xf numFmtId="0" fontId="21" fillId="0" borderId="16" xfId="3" applyNumberFormat="1" applyFont="1" applyFill="1" applyBorder="1" applyAlignment="1">
      <alignment horizontal="justify"/>
    </xf>
    <xf numFmtId="43" fontId="24" fillId="2" borderId="16" xfId="7" applyFont="1" applyFill="1" applyBorder="1" applyAlignment="1">
      <alignment horizontal="center"/>
    </xf>
    <xf numFmtId="0" fontId="20" fillId="2" borderId="17" xfId="2" applyNumberFormat="1" applyFont="1" applyFill="1" applyBorder="1" applyAlignment="1">
      <alignment horizontal="justify" vertical="top" wrapText="1"/>
    </xf>
    <xf numFmtId="0" fontId="23" fillId="0" borderId="17" xfId="5" applyFont="1" applyFill="1" applyBorder="1" applyAlignment="1">
      <alignment horizontal="center"/>
    </xf>
    <xf numFmtId="43" fontId="23" fillId="0" borderId="49" xfId="7" applyFont="1" applyFill="1" applyBorder="1" applyAlignment="1">
      <alignment horizontal="right"/>
    </xf>
    <xf numFmtId="0" fontId="20" fillId="0" borderId="17" xfId="3" applyNumberFormat="1" applyFont="1" applyFill="1" applyBorder="1" applyAlignment="1">
      <alignment horizontal="justify" vertical="top"/>
    </xf>
    <xf numFmtId="43" fontId="23" fillId="0" borderId="8" xfId="3" applyFont="1" applyFill="1" applyBorder="1" applyAlignment="1">
      <alignment horizontal="right"/>
    </xf>
    <xf numFmtId="43" fontId="23" fillId="0" borderId="53" xfId="7" applyFont="1" applyFill="1" applyBorder="1" applyAlignment="1">
      <alignment horizontal="right"/>
    </xf>
    <xf numFmtId="0" fontId="16" fillId="0" borderId="18" xfId="3" applyNumberFormat="1" applyFont="1" applyFill="1" applyBorder="1" applyAlignment="1">
      <alignment horizontal="justify" vertical="top"/>
    </xf>
    <xf numFmtId="43" fontId="23" fillId="2" borderId="18" xfId="7" applyFont="1" applyFill="1" applyBorder="1" applyAlignment="1">
      <alignment horizontal="center"/>
    </xf>
    <xf numFmtId="43" fontId="23" fillId="0" borderId="11" xfId="3" applyFont="1" applyFill="1" applyBorder="1" applyAlignment="1">
      <alignment horizontal="right"/>
    </xf>
    <xf numFmtId="0" fontId="16" fillId="2" borderId="47" xfId="2" applyFont="1" applyFill="1" applyBorder="1" applyAlignment="1">
      <alignment horizontal="center" vertical="top"/>
    </xf>
    <xf numFmtId="43" fontId="24" fillId="0" borderId="11" xfId="3" applyFont="1" applyFill="1" applyBorder="1" applyAlignment="1">
      <alignment horizontal="right"/>
    </xf>
    <xf numFmtId="43" fontId="21" fillId="0" borderId="13" xfId="3" applyFont="1" applyFill="1" applyBorder="1" applyAlignment="1">
      <alignment horizontal="right"/>
    </xf>
    <xf numFmtId="0" fontId="16" fillId="0" borderId="17" xfId="3" applyNumberFormat="1" applyFont="1" applyFill="1" applyBorder="1" applyAlignment="1">
      <alignment horizontal="justify" vertical="top"/>
    </xf>
    <xf numFmtId="43" fontId="24" fillId="2" borderId="17" xfId="7" applyFont="1" applyFill="1" applyBorder="1" applyAlignment="1">
      <alignment horizontal="center"/>
    </xf>
    <xf numFmtId="4" fontId="24" fillId="2" borderId="49" xfId="5" applyNumberFormat="1" applyFont="1" applyFill="1" applyBorder="1" applyAlignment="1">
      <alignment horizontal="center" vertical="center"/>
    </xf>
    <xf numFmtId="4" fontId="25" fillId="2" borderId="31" xfId="5" applyNumberFormat="1" applyFont="1" applyFill="1" applyBorder="1" applyAlignment="1">
      <alignment horizontal="center" vertical="center"/>
    </xf>
    <xf numFmtId="0" fontId="16" fillId="0" borderId="2" xfId="3" applyNumberFormat="1" applyFont="1" applyFill="1" applyBorder="1" applyAlignment="1">
      <alignment horizontal="justify" vertical="top"/>
    </xf>
    <xf numFmtId="0" fontId="21" fillId="0" borderId="2" xfId="5" applyFont="1" applyFill="1" applyBorder="1" applyAlignment="1">
      <alignment horizontal="center"/>
    </xf>
    <xf numFmtId="43" fontId="23" fillId="0" borderId="36" xfId="7" applyFont="1" applyFill="1" applyBorder="1" applyAlignment="1">
      <alignment horizontal="right"/>
    </xf>
    <xf numFmtId="0" fontId="20" fillId="2" borderId="2" xfId="2" applyNumberFormat="1" applyFont="1" applyFill="1" applyBorder="1" applyAlignment="1">
      <alignment horizontal="justify" vertical="top" wrapText="1"/>
    </xf>
    <xf numFmtId="43" fontId="21" fillId="2" borderId="2" xfId="7" applyFont="1" applyFill="1" applyBorder="1" applyAlignment="1">
      <alignment horizontal="center"/>
    </xf>
    <xf numFmtId="43" fontId="21" fillId="0" borderId="2" xfId="7" applyFont="1" applyFill="1" applyBorder="1" applyAlignment="1">
      <alignment horizontal="center"/>
    </xf>
    <xf numFmtId="43" fontId="21" fillId="0" borderId="2" xfId="3" applyFont="1" applyFill="1" applyBorder="1" applyAlignment="1">
      <alignment horizontal="right"/>
    </xf>
    <xf numFmtId="43" fontId="21" fillId="0" borderId="36" xfId="7" applyFont="1" applyFill="1" applyBorder="1" applyAlignment="1">
      <alignment horizontal="right"/>
    </xf>
    <xf numFmtId="0" fontId="20" fillId="0" borderId="17" xfId="3" applyNumberFormat="1" applyFont="1" applyFill="1" applyBorder="1" applyAlignment="1">
      <alignment horizontal="justify"/>
    </xf>
    <xf numFmtId="0" fontId="21" fillId="2" borderId="16" xfId="3" applyNumberFormat="1" applyFont="1" applyFill="1" applyBorder="1" applyAlignment="1">
      <alignment horizontal="justify" vertical="top"/>
    </xf>
    <xf numFmtId="0" fontId="22" fillId="0" borderId="30" xfId="2" applyFont="1" applyBorder="1" applyAlignment="1">
      <alignment horizontal="center" vertical="top"/>
    </xf>
    <xf numFmtId="0" fontId="21" fillId="2" borderId="2" xfId="3" applyNumberFormat="1" applyFont="1" applyFill="1" applyBorder="1" applyAlignment="1">
      <alignment horizontal="justify" vertical="top"/>
    </xf>
    <xf numFmtId="43" fontId="21" fillId="2" borderId="17" xfId="7" applyFont="1" applyFill="1" applyBorder="1" applyAlignment="1">
      <alignment horizontal="center"/>
    </xf>
    <xf numFmtId="0" fontId="20" fillId="0" borderId="8" xfId="2" applyNumberFormat="1" applyFont="1" applyFill="1" applyBorder="1" applyAlignment="1">
      <alignment horizontal="justify" vertical="top" wrapText="1"/>
    </xf>
    <xf numFmtId="0" fontId="16" fillId="0" borderId="11" xfId="2" applyNumberFormat="1" applyFont="1" applyFill="1" applyBorder="1" applyAlignment="1">
      <alignment horizontal="justify" vertical="top" wrapText="1"/>
    </xf>
    <xf numFmtId="0" fontId="21" fillId="0" borderId="13" xfId="3" applyNumberFormat="1" applyFont="1" applyFill="1" applyBorder="1" applyAlignment="1">
      <alignment horizontal="justify" vertical="top"/>
    </xf>
    <xf numFmtId="0" fontId="17" fillId="0" borderId="14" xfId="5" applyFont="1" applyFill="1" applyBorder="1"/>
    <xf numFmtId="0" fontId="16" fillId="0" borderId="18" xfId="2" applyNumberFormat="1" applyFont="1" applyFill="1" applyBorder="1" applyAlignment="1">
      <alignment horizontal="justify" vertical="top" wrapText="1"/>
    </xf>
    <xf numFmtId="43" fontId="23" fillId="0" borderId="17" xfId="3" applyFont="1" applyFill="1" applyBorder="1" applyAlignment="1"/>
    <xf numFmtId="43" fontId="21" fillId="0" borderId="16" xfId="3" applyFont="1" applyFill="1" applyBorder="1" applyAlignment="1"/>
    <xf numFmtId="43" fontId="21" fillId="0" borderId="18" xfId="3" applyFont="1" applyFill="1" applyBorder="1" applyAlignment="1"/>
    <xf numFmtId="0" fontId="16" fillId="0" borderId="47" xfId="2" applyFont="1" applyBorder="1" applyAlignment="1">
      <alignment horizontal="center" vertical="top"/>
    </xf>
    <xf numFmtId="43" fontId="23" fillId="0" borderId="18" xfId="3" applyFont="1" applyFill="1" applyBorder="1" applyAlignment="1"/>
    <xf numFmtId="0" fontId="16" fillId="0" borderId="52" xfId="2" applyFont="1" applyBorder="1" applyAlignment="1">
      <alignment horizontal="center" vertical="top"/>
    </xf>
    <xf numFmtId="43" fontId="24" fillId="0" borderId="8" xfId="3" applyFont="1" applyFill="1" applyBorder="1" applyAlignment="1">
      <alignment horizontal="right"/>
    </xf>
    <xf numFmtId="43" fontId="21" fillId="0" borderId="17" xfId="3" applyFont="1" applyFill="1" applyBorder="1" applyAlignment="1"/>
    <xf numFmtId="43" fontId="24" fillId="0" borderId="53" xfId="7" applyFont="1" applyFill="1" applyBorder="1" applyAlignment="1">
      <alignment horizontal="right"/>
    </xf>
    <xf numFmtId="0" fontId="16" fillId="0" borderId="52" xfId="2" applyFont="1" applyFill="1" applyBorder="1" applyAlignment="1">
      <alignment horizontal="center" vertical="top"/>
    </xf>
    <xf numFmtId="43" fontId="24" fillId="0" borderId="18" xfId="3" applyFont="1" applyFill="1" applyBorder="1" applyAlignment="1">
      <alignment horizontal="right"/>
    </xf>
    <xf numFmtId="43" fontId="23" fillId="0" borderId="16" xfId="3" applyFont="1" applyFill="1" applyBorder="1" applyAlignment="1"/>
    <xf numFmtId="43" fontId="26" fillId="0" borderId="16" xfId="3" applyFont="1" applyBorder="1" applyAlignment="1"/>
    <xf numFmtId="43" fontId="26" fillId="0" borderId="36" xfId="3" applyFont="1" applyBorder="1" applyAlignment="1"/>
    <xf numFmtId="0" fontId="12" fillId="0" borderId="0" xfId="5" applyFont="1" applyAlignment="1">
      <alignment wrapText="1"/>
    </xf>
    <xf numFmtId="0" fontId="12" fillId="0" borderId="0" xfId="5" applyFont="1" applyAlignment="1">
      <alignment horizont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6"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left" vertical="center" wrapText="1"/>
    </xf>
    <xf numFmtId="0" fontId="1" fillId="0" borderId="0" xfId="0" applyFont="1" applyAlignment="1">
      <alignment horizontal="left" vertical="center" wrapText="1"/>
    </xf>
    <xf numFmtId="0" fontId="26" fillId="0" borderId="30" xfId="5" applyFont="1" applyBorder="1" applyAlignment="1">
      <alignment horizontal="center"/>
    </xf>
    <xf numFmtId="0" fontId="26" fillId="0" borderId="2" xfId="5" applyFont="1" applyBorder="1" applyAlignment="1">
      <alignment horizontal="center"/>
    </xf>
    <xf numFmtId="0" fontId="27" fillId="0" borderId="33" xfId="5" applyFont="1" applyBorder="1" applyAlignment="1">
      <alignment horizontal="left" vertical="center" wrapText="1"/>
    </xf>
    <xf numFmtId="0" fontId="27" fillId="0" borderId="34" xfId="5" applyFont="1" applyBorder="1" applyAlignment="1">
      <alignment horizontal="left" vertical="center" wrapText="1"/>
    </xf>
    <xf numFmtId="0" fontId="27" fillId="0" borderId="35" xfId="5" applyFont="1" applyBorder="1" applyAlignment="1">
      <alignment horizontal="left" vertical="center" wrapText="1"/>
    </xf>
    <xf numFmtId="0" fontId="21" fillId="0" borderId="10" xfId="5" applyFont="1" applyFill="1" applyBorder="1" applyAlignment="1">
      <alignment horizontal="center"/>
    </xf>
    <xf numFmtId="0" fontId="21" fillId="0" borderId="12" xfId="5" applyFont="1" applyFill="1" applyBorder="1" applyAlignment="1">
      <alignment horizontal="center"/>
    </xf>
    <xf numFmtId="0" fontId="21" fillId="0" borderId="15" xfId="5" applyFont="1" applyFill="1" applyBorder="1" applyAlignment="1">
      <alignment horizontal="center"/>
    </xf>
    <xf numFmtId="43" fontId="21" fillId="0" borderId="8" xfId="3" applyFont="1" applyFill="1" applyBorder="1" applyAlignment="1">
      <alignment horizontal="center"/>
    </xf>
    <xf numFmtId="43" fontId="21" fillId="0" borderId="11" xfId="3" applyFont="1" applyFill="1" applyBorder="1" applyAlignment="1">
      <alignment horizontal="center"/>
    </xf>
    <xf numFmtId="43" fontId="21" fillId="0" borderId="13" xfId="3" applyFont="1" applyFill="1" applyBorder="1" applyAlignment="1">
      <alignment horizontal="center"/>
    </xf>
    <xf numFmtId="0" fontId="21" fillId="0" borderId="53" xfId="5" applyFont="1" applyFill="1" applyBorder="1" applyAlignment="1">
      <alignment horizontal="center"/>
    </xf>
    <xf numFmtId="0" fontId="21" fillId="0" borderId="29" xfId="5" applyFont="1" applyFill="1" applyBorder="1" applyAlignment="1">
      <alignment horizontal="center"/>
    </xf>
    <xf numFmtId="0" fontId="21" fillId="0" borderId="32" xfId="5" applyFont="1" applyFill="1" applyBorder="1" applyAlignment="1">
      <alignment horizontal="center"/>
    </xf>
    <xf numFmtId="0" fontId="21" fillId="0" borderId="17" xfId="5" applyFont="1" applyFill="1" applyBorder="1" applyAlignment="1">
      <alignment horizontal="center"/>
    </xf>
    <xf numFmtId="0" fontId="21" fillId="0" borderId="16" xfId="5" applyFont="1" applyFill="1" applyBorder="1" applyAlignment="1">
      <alignment horizontal="center"/>
    </xf>
    <xf numFmtId="43" fontId="21" fillId="0" borderId="17" xfId="3" applyFont="1" applyFill="1" applyBorder="1" applyAlignment="1">
      <alignment horizontal="center"/>
    </xf>
    <xf numFmtId="43" fontId="21" fillId="0" borderId="16" xfId="3" applyFont="1" applyFill="1" applyBorder="1" applyAlignment="1">
      <alignment horizontal="center"/>
    </xf>
    <xf numFmtId="0" fontId="21" fillId="0" borderId="49" xfId="5" applyFont="1" applyFill="1" applyBorder="1" applyAlignment="1">
      <alignment horizontal="center"/>
    </xf>
    <xf numFmtId="0" fontId="21" fillId="0" borderId="31" xfId="5" applyFont="1" applyFill="1" applyBorder="1" applyAlignment="1">
      <alignment horizontal="center"/>
    </xf>
    <xf numFmtId="0" fontId="9" fillId="0" borderId="40" xfId="5" applyFont="1" applyBorder="1" applyAlignment="1">
      <alignment horizontal="center" vertical="center"/>
    </xf>
    <xf numFmtId="0" fontId="9" fillId="0" borderId="41" xfId="5" applyFont="1" applyBorder="1" applyAlignment="1">
      <alignment horizontal="center" vertical="center"/>
    </xf>
    <xf numFmtId="0" fontId="9" fillId="0" borderId="42" xfId="5" applyFont="1" applyBorder="1" applyAlignment="1">
      <alignment horizontal="center" vertical="center"/>
    </xf>
    <xf numFmtId="0" fontId="13" fillId="0" borderId="37" xfId="5" applyFont="1" applyBorder="1" applyAlignment="1">
      <alignment horizontal="left"/>
    </xf>
    <xf numFmtId="0" fontId="13" fillId="0" borderId="38" xfId="5" applyFont="1" applyBorder="1" applyAlignment="1">
      <alignment horizontal="left"/>
    </xf>
    <xf numFmtId="0" fontId="13" fillId="0" borderId="39" xfId="5" applyFont="1" applyBorder="1" applyAlignment="1">
      <alignment horizontal="left"/>
    </xf>
    <xf numFmtId="166" fontId="16" fillId="0" borderId="26" xfId="8" applyNumberFormat="1" applyFont="1" applyFill="1" applyBorder="1" applyAlignment="1">
      <alignment horizontal="center" vertical="center"/>
    </xf>
    <xf numFmtId="166" fontId="16" fillId="0" borderId="47" xfId="5" applyNumberFormat="1" applyFont="1" applyFill="1" applyBorder="1" applyAlignment="1">
      <alignment vertical="center"/>
    </xf>
    <xf numFmtId="43" fontId="16" fillId="0" borderId="2" xfId="7" applyFont="1" applyFill="1" applyBorder="1" applyAlignment="1" applyProtection="1">
      <alignment horizontal="center" vertical="center"/>
    </xf>
    <xf numFmtId="43" fontId="16" fillId="0" borderId="17" xfId="7" applyFont="1" applyFill="1" applyBorder="1" applyAlignment="1" applyProtection="1">
      <alignment horizontal="center" vertical="center"/>
    </xf>
    <xf numFmtId="43" fontId="16" fillId="0" borderId="45" xfId="7" applyFont="1" applyFill="1" applyBorder="1" applyAlignment="1" applyProtection="1">
      <alignment horizontal="center" vertical="center"/>
    </xf>
    <xf numFmtId="167" fontId="16" fillId="0" borderId="45" xfId="8" applyNumberFormat="1" applyFont="1" applyFill="1" applyBorder="1" applyAlignment="1" applyProtection="1">
      <alignment horizontal="center"/>
    </xf>
    <xf numFmtId="167" fontId="16" fillId="0" borderId="17" xfId="8" applyNumberFormat="1" applyFont="1" applyFill="1" applyBorder="1" applyAlignment="1" applyProtection="1">
      <alignment horizontal="center"/>
    </xf>
    <xf numFmtId="0" fontId="16" fillId="0" borderId="27" xfId="5" applyFont="1" applyFill="1" applyBorder="1" applyAlignment="1">
      <alignment horizontal="center" vertical="center" wrapText="1"/>
    </xf>
    <xf numFmtId="0" fontId="16" fillId="0" borderId="31" xfId="5" applyFont="1" applyFill="1" applyBorder="1" applyAlignment="1">
      <alignment horizontal="center" vertical="center" wrapText="1"/>
    </xf>
    <xf numFmtId="43" fontId="16" fillId="0" borderId="7" xfId="7" applyFont="1" applyFill="1" applyBorder="1" applyAlignment="1">
      <alignment horizontal="center" vertical="center"/>
    </xf>
    <xf numFmtId="43" fontId="16" fillId="0" borderId="48" xfId="7" applyFont="1" applyFill="1" applyBorder="1" applyAlignment="1">
      <alignment horizontal="center" vertical="center"/>
    </xf>
    <xf numFmtId="43" fontId="16" fillId="0" borderId="46" xfId="7" applyFont="1" applyFill="1" applyBorder="1" applyAlignment="1">
      <alignment horizontal="center" vertical="center"/>
    </xf>
    <xf numFmtId="43" fontId="16" fillId="0" borderId="49" xfId="7" applyFont="1" applyFill="1" applyBorder="1" applyAlignment="1">
      <alignment horizontal="center" vertical="center"/>
    </xf>
  </cellXfs>
  <cellStyles count="9">
    <cellStyle name="Comma" xfId="1" builtinId="3"/>
    <cellStyle name="Comma 2" xfId="3"/>
    <cellStyle name="Comma 3" xfId="6"/>
    <cellStyle name="Comma 3 2" xfId="7"/>
    <cellStyle name="Normal" xfId="0" builtinId="0"/>
    <cellStyle name="Normal 2" xfId="2"/>
    <cellStyle name="Normal 2 2" xfId="4"/>
    <cellStyle name="Normal 3" xfId="5"/>
    <cellStyle name="Normal_bq_Dept_o_educatn"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NI%20-%202017/2017%20-%20Infra/Details%20From%20DO/Kathmandu/2%20Rooms%20JICA%20Model%20Estimate%20Bri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Estimate"/>
      <sheetName val="BOQ"/>
      <sheetName val="Rates"/>
      <sheetName val="Rate analysis"/>
      <sheetName val="Mat-Lab breakdown"/>
    </sheetNames>
    <sheetDataSet>
      <sheetData sheetId="0">
        <row r="15">
          <cell r="G15">
            <v>45.172910000000002</v>
          </cell>
        </row>
        <row r="17">
          <cell r="G17">
            <v>27.103746000000001</v>
          </cell>
        </row>
        <row r="31">
          <cell r="G31">
            <v>161.96449999999999</v>
          </cell>
        </row>
        <row r="42">
          <cell r="G42">
            <v>8.1091650000000008</v>
          </cell>
        </row>
        <row r="51">
          <cell r="G51">
            <v>2.3983743360000003</v>
          </cell>
        </row>
        <row r="96">
          <cell r="G96">
            <v>431.21134633343485</v>
          </cell>
        </row>
        <row r="114">
          <cell r="G114">
            <v>24.119449750000008</v>
          </cell>
        </row>
        <row r="128">
          <cell r="G128">
            <v>26.402850000000001</v>
          </cell>
        </row>
        <row r="136">
          <cell r="G136">
            <v>38.330999999999996</v>
          </cell>
        </row>
        <row r="149">
          <cell r="G149">
            <v>396.35767500000009</v>
          </cell>
        </row>
        <row r="153">
          <cell r="G153">
            <v>8.4000000000000021</v>
          </cell>
        </row>
        <row r="156">
          <cell r="G156">
            <v>14.580000000000002</v>
          </cell>
        </row>
        <row r="195">
          <cell r="G195">
            <v>1819.5787539999999</v>
          </cell>
        </row>
        <row r="201">
          <cell r="G201">
            <v>158.95706999999999</v>
          </cell>
        </row>
        <row r="203">
          <cell r="G203">
            <v>15.83</v>
          </cell>
        </row>
        <row r="205">
          <cell r="G205">
            <v>21.6</v>
          </cell>
        </row>
        <row r="207">
          <cell r="G207">
            <v>83.64</v>
          </cell>
        </row>
        <row r="221">
          <cell r="G221">
            <v>114.80400000000002</v>
          </cell>
        </row>
        <row r="224">
          <cell r="G224">
            <v>108.94800000000001</v>
          </cell>
        </row>
        <row r="227">
          <cell r="G227">
            <v>223.75200000000001</v>
          </cell>
        </row>
        <row r="230">
          <cell r="G230">
            <v>223.75200000000001</v>
          </cell>
        </row>
        <row r="239">
          <cell r="G239">
            <v>62.040000000000013</v>
          </cell>
        </row>
        <row r="245">
          <cell r="G245">
            <v>46.247600000000006</v>
          </cell>
        </row>
        <row r="251">
          <cell r="G251">
            <v>5.7809500000000007</v>
          </cell>
        </row>
        <row r="257">
          <cell r="G257">
            <v>115.619</v>
          </cell>
        </row>
        <row r="263">
          <cell r="G263">
            <v>115.619</v>
          </cell>
        </row>
        <row r="269">
          <cell r="G269">
            <v>115.619</v>
          </cell>
        </row>
      </sheetData>
      <sheetData sheetId="1"/>
      <sheetData sheetId="2"/>
      <sheetData sheetId="3">
        <row r="27">
          <cell r="H27">
            <v>457.83499999999998</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7"/>
  <sheetViews>
    <sheetView view="pageBreakPreview" zoomScaleNormal="100" zoomScaleSheetLayoutView="100" workbookViewId="0">
      <selection activeCell="O14" sqref="O14"/>
    </sheetView>
  </sheetViews>
  <sheetFormatPr defaultRowHeight="15"/>
  <cols>
    <col min="1" max="1" width="5.5703125" style="1" customWidth="1"/>
    <col min="2" max="2" width="40.5703125" customWidth="1"/>
    <col min="3" max="3" width="7" customWidth="1"/>
    <col min="4" max="6" width="9.28515625" customWidth="1"/>
    <col min="7" max="7" width="10.140625" customWidth="1"/>
    <col min="9" max="9" width="13.28515625" customWidth="1"/>
    <col min="10" max="11" width="0" hidden="1" customWidth="1"/>
  </cols>
  <sheetData>
    <row r="1" spans="1:11" ht="21">
      <c r="A1" s="268" t="s">
        <v>0</v>
      </c>
      <c r="B1" s="268"/>
      <c r="C1" s="268"/>
      <c r="D1" s="268"/>
      <c r="E1" s="268"/>
      <c r="F1" s="268"/>
      <c r="G1" s="268"/>
      <c r="H1" s="268"/>
      <c r="I1" s="268"/>
    </row>
    <row r="2" spans="1:11">
      <c r="A2" s="71"/>
      <c r="B2" s="72"/>
      <c r="C2" s="72"/>
      <c r="D2" s="72"/>
      <c r="E2" s="72"/>
      <c r="F2" s="72"/>
      <c r="G2" s="72"/>
      <c r="H2" s="72"/>
      <c r="I2" s="72"/>
    </row>
    <row r="3" spans="1:11">
      <c r="A3" s="269" t="str">
        <f>Cooperative!A3</f>
        <v>Project: Cooperative House, Lele</v>
      </c>
      <c r="B3" s="269"/>
      <c r="C3" s="269"/>
      <c r="D3" s="269"/>
      <c r="E3" s="269"/>
      <c r="F3" s="269"/>
      <c r="G3" s="269"/>
      <c r="H3" s="269"/>
      <c r="I3" s="269"/>
    </row>
    <row r="4" spans="1:11">
      <c r="A4" s="269" t="str">
        <f>Cooperative!A4</f>
        <v>Date: March, 2017</v>
      </c>
      <c r="B4" s="269"/>
      <c r="C4" s="72"/>
      <c r="D4" s="72"/>
      <c r="E4" s="72"/>
      <c r="F4" s="72"/>
      <c r="G4" s="72"/>
      <c r="H4" s="72"/>
      <c r="I4" s="72"/>
    </row>
    <row r="5" spans="1:11">
      <c r="A5" s="73"/>
      <c r="B5" s="46"/>
      <c r="C5" s="46"/>
      <c r="D5" s="46"/>
      <c r="E5" s="46"/>
      <c r="F5" s="46"/>
      <c r="G5" s="46"/>
      <c r="H5" s="46"/>
      <c r="I5" s="46"/>
    </row>
    <row r="6" spans="1:11">
      <c r="A6" s="74" t="s">
        <v>1</v>
      </c>
      <c r="B6" s="74" t="s">
        <v>2</v>
      </c>
      <c r="C6" s="74" t="s">
        <v>3</v>
      </c>
      <c r="D6" s="74" t="s">
        <v>4</v>
      </c>
      <c r="E6" s="74" t="s">
        <v>5</v>
      </c>
      <c r="F6" s="74" t="s">
        <v>6</v>
      </c>
      <c r="G6" s="74" t="s">
        <v>7</v>
      </c>
      <c r="H6" s="74" t="s">
        <v>8</v>
      </c>
      <c r="I6" s="74" t="s">
        <v>9</v>
      </c>
    </row>
    <row r="7" spans="1:11">
      <c r="A7" s="74" t="s">
        <v>48</v>
      </c>
      <c r="B7" s="75" t="s">
        <v>49</v>
      </c>
      <c r="C7" s="41"/>
      <c r="D7" s="41"/>
      <c r="E7" s="41"/>
      <c r="F7" s="41"/>
      <c r="G7" s="41"/>
      <c r="H7" s="41"/>
      <c r="I7" s="41"/>
    </row>
    <row r="8" spans="1:11" ht="15.75">
      <c r="A8" s="76">
        <v>1</v>
      </c>
      <c r="B8" s="77" t="s">
        <v>53</v>
      </c>
      <c r="C8" s="41"/>
      <c r="D8" s="33"/>
      <c r="E8" s="41"/>
      <c r="F8" s="41"/>
      <c r="G8" s="56"/>
      <c r="H8" s="41"/>
      <c r="I8" s="41"/>
    </row>
    <row r="9" spans="1:11" ht="15.75">
      <c r="A9" s="76"/>
      <c r="B9" s="42" t="s">
        <v>90</v>
      </c>
      <c r="C9" s="41">
        <v>1</v>
      </c>
      <c r="D9" s="33">
        <v>37</v>
      </c>
      <c r="E9" s="41">
        <v>28.83</v>
      </c>
      <c r="F9" s="41"/>
      <c r="G9" s="56">
        <f>E9*D9*C9</f>
        <v>1066.71</v>
      </c>
      <c r="H9" s="41" t="s">
        <v>144</v>
      </c>
      <c r="I9" s="41"/>
    </row>
    <row r="10" spans="1:11" ht="15.75">
      <c r="A10" s="76"/>
      <c r="B10" s="42"/>
      <c r="C10" s="41"/>
      <c r="D10" s="33"/>
      <c r="E10" s="41"/>
      <c r="F10" s="41"/>
      <c r="G10" s="56"/>
      <c r="H10" s="41"/>
      <c r="I10" s="41"/>
    </row>
    <row r="11" spans="1:11" ht="15.75">
      <c r="A11" s="76"/>
      <c r="B11" s="75" t="s">
        <v>91</v>
      </c>
      <c r="C11" s="74"/>
      <c r="D11" s="78"/>
      <c r="E11" s="78"/>
      <c r="F11" s="78"/>
      <c r="G11" s="40">
        <f>SUM(G9:G10)/10.75</f>
        <v>99.228837209302327</v>
      </c>
      <c r="H11" s="75" t="s">
        <v>47</v>
      </c>
      <c r="I11" s="41"/>
    </row>
    <row r="12" spans="1:11">
      <c r="A12" s="41"/>
      <c r="B12" s="41"/>
      <c r="C12" s="41"/>
      <c r="D12" s="41"/>
      <c r="E12" s="41"/>
      <c r="F12" s="41"/>
      <c r="G12" s="41"/>
      <c r="H12" s="41"/>
      <c r="I12" s="41"/>
    </row>
    <row r="13" spans="1:11" ht="15.75">
      <c r="A13" s="76">
        <f>A8+1</f>
        <v>2</v>
      </c>
      <c r="B13" s="77" t="s">
        <v>10</v>
      </c>
      <c r="C13" s="41"/>
      <c r="D13" s="79"/>
      <c r="E13" s="79"/>
      <c r="F13" s="79"/>
      <c r="G13" s="79"/>
      <c r="H13" s="45"/>
      <c r="I13" s="45"/>
    </row>
    <row r="14" spans="1:11">
      <c r="A14" s="41"/>
      <c r="B14" s="75" t="s">
        <v>11</v>
      </c>
      <c r="C14" s="41"/>
      <c r="D14" s="43"/>
      <c r="E14" s="43"/>
      <c r="F14" s="43"/>
      <c r="G14" s="44"/>
      <c r="H14" s="45"/>
      <c r="I14" s="45"/>
    </row>
    <row r="15" spans="1:11">
      <c r="A15" s="41"/>
      <c r="B15" s="42" t="s">
        <v>12</v>
      </c>
      <c r="C15" s="41">
        <v>9</v>
      </c>
      <c r="D15" s="33">
        <v>5</v>
      </c>
      <c r="E15" s="33">
        <v>5</v>
      </c>
      <c r="F15" s="33">
        <v>5</v>
      </c>
      <c r="G15" s="56">
        <f>F15*E15*D15*C15</f>
        <v>1125</v>
      </c>
      <c r="H15" s="45"/>
      <c r="I15" s="45"/>
    </row>
    <row r="16" spans="1:11">
      <c r="A16" s="41"/>
      <c r="B16" s="45"/>
      <c r="C16" s="41"/>
      <c r="D16" s="43"/>
      <c r="E16" s="43"/>
      <c r="F16" s="43"/>
      <c r="G16" s="56"/>
      <c r="H16" s="45"/>
      <c r="I16" s="45"/>
      <c r="K16" t="e">
        <f>#REF!/35.28</f>
        <v>#REF!</v>
      </c>
    </row>
    <row r="17" spans="1:11">
      <c r="A17" s="41"/>
      <c r="B17" s="75" t="s">
        <v>13</v>
      </c>
      <c r="C17" s="41"/>
      <c r="D17" s="46"/>
      <c r="E17" s="43"/>
      <c r="F17" s="43"/>
      <c r="G17" s="56"/>
      <c r="H17" s="45"/>
      <c r="I17" s="45"/>
    </row>
    <row r="18" spans="1:11">
      <c r="A18" s="41"/>
      <c r="B18" s="42" t="s">
        <v>129</v>
      </c>
      <c r="C18" s="41">
        <v>3</v>
      </c>
      <c r="D18" s="33">
        <v>31.5</v>
      </c>
      <c r="E18" s="33">
        <v>2.25</v>
      </c>
      <c r="F18" s="33">
        <v>3.25</v>
      </c>
      <c r="G18" s="56">
        <f t="shared" ref="G18:G19" si="0">F18*E18*D18*C18</f>
        <v>691.03125</v>
      </c>
      <c r="H18" s="45"/>
      <c r="I18" s="45"/>
    </row>
    <row r="19" spans="1:11">
      <c r="A19" s="41"/>
      <c r="B19" s="42" t="s">
        <v>124</v>
      </c>
      <c r="C19" s="41">
        <v>3</v>
      </c>
      <c r="D19" s="33">
        <v>25.75</v>
      </c>
      <c r="E19" s="33">
        <v>2.25</v>
      </c>
      <c r="F19" s="33">
        <v>3.25</v>
      </c>
      <c r="G19" s="56">
        <f t="shared" si="0"/>
        <v>564.890625</v>
      </c>
      <c r="H19" s="45"/>
      <c r="I19" s="45"/>
    </row>
    <row r="20" spans="1:11">
      <c r="A20" s="41"/>
      <c r="B20" s="42"/>
      <c r="C20" s="41"/>
      <c r="D20" s="43"/>
      <c r="E20" s="43"/>
      <c r="F20" s="43"/>
      <c r="G20" s="44"/>
      <c r="H20" s="45"/>
      <c r="I20" s="45"/>
    </row>
    <row r="21" spans="1:11">
      <c r="A21" s="41"/>
      <c r="B21" s="42"/>
      <c r="C21" s="41"/>
      <c r="D21" s="43"/>
      <c r="E21" s="43"/>
      <c r="F21" s="43"/>
      <c r="G21" s="44">
        <f>SUM(G15:G19)</f>
        <v>2380.921875</v>
      </c>
      <c r="H21" s="45" t="s">
        <v>105</v>
      </c>
      <c r="I21" s="45"/>
    </row>
    <row r="22" spans="1:11">
      <c r="A22" s="41"/>
      <c r="B22" s="75" t="s">
        <v>14</v>
      </c>
      <c r="C22" s="74"/>
      <c r="D22" s="78"/>
      <c r="E22" s="78"/>
      <c r="F22" s="78"/>
      <c r="G22" s="40">
        <f>G21/35.28</f>
        <v>67.486447704081627</v>
      </c>
      <c r="H22" s="75" t="s">
        <v>46</v>
      </c>
      <c r="I22" s="45"/>
      <c r="K22">
        <f>G22/35.28</f>
        <v>1.912881170750613</v>
      </c>
    </row>
    <row r="23" spans="1:11">
      <c r="A23" s="41"/>
      <c r="B23" s="45"/>
      <c r="C23" s="41"/>
      <c r="D23" s="43"/>
      <c r="E23" s="43"/>
      <c r="F23" s="43"/>
      <c r="G23" s="44"/>
      <c r="H23" s="45"/>
      <c r="I23" s="45"/>
    </row>
    <row r="24" spans="1:11" ht="15.75">
      <c r="A24" s="76">
        <f>A13+1</f>
        <v>3</v>
      </c>
      <c r="B24" s="77" t="s">
        <v>15</v>
      </c>
      <c r="C24" s="41"/>
      <c r="D24" s="43"/>
      <c r="E24" s="43"/>
      <c r="F24" s="43"/>
      <c r="G24" s="44"/>
      <c r="H24" s="45"/>
      <c r="I24" s="45"/>
    </row>
    <row r="25" spans="1:11">
      <c r="A25" s="41"/>
      <c r="B25" s="42" t="s">
        <v>106</v>
      </c>
      <c r="C25" s="41"/>
      <c r="D25" s="43"/>
      <c r="E25" s="43"/>
      <c r="F25" s="43"/>
      <c r="G25" s="44">
        <f>G21*0.6</f>
        <v>1428.5531249999999</v>
      </c>
      <c r="H25" s="45"/>
      <c r="I25" s="45"/>
    </row>
    <row r="26" spans="1:11">
      <c r="A26" s="41"/>
      <c r="B26" s="42"/>
      <c r="C26" s="41"/>
      <c r="D26" s="33"/>
      <c r="E26" s="33"/>
      <c r="F26" s="33"/>
      <c r="G26" s="56"/>
      <c r="H26" s="45"/>
      <c r="I26" s="45"/>
    </row>
    <row r="27" spans="1:11">
      <c r="A27" s="41"/>
      <c r="B27" s="42"/>
      <c r="C27" s="41"/>
      <c r="D27" s="43"/>
      <c r="E27" s="43"/>
      <c r="F27" s="43"/>
      <c r="G27" s="44">
        <f>SUM(G25:G26)</f>
        <v>1428.5531249999999</v>
      </c>
      <c r="H27" s="45" t="s">
        <v>105</v>
      </c>
      <c r="I27" s="45"/>
    </row>
    <row r="28" spans="1:11">
      <c r="A28" s="41"/>
      <c r="B28" s="75" t="s">
        <v>17</v>
      </c>
      <c r="C28" s="74"/>
      <c r="D28" s="78"/>
      <c r="E28" s="78"/>
      <c r="F28" s="78"/>
      <c r="G28" s="40">
        <f>G27/35.28</f>
        <v>40.491868622448976</v>
      </c>
      <c r="H28" s="75" t="s">
        <v>46</v>
      </c>
      <c r="I28" s="45"/>
    </row>
    <row r="29" spans="1:11">
      <c r="A29" s="41"/>
      <c r="B29" s="45"/>
      <c r="C29" s="41"/>
      <c r="D29" s="43"/>
      <c r="E29" s="43"/>
      <c r="F29" s="43"/>
      <c r="G29" s="44"/>
      <c r="H29" s="45"/>
      <c r="I29" s="45"/>
    </row>
    <row r="30" spans="1:11" ht="15.75">
      <c r="A30" s="76">
        <v>4</v>
      </c>
      <c r="B30" s="77" t="s">
        <v>18</v>
      </c>
      <c r="C30" s="41"/>
      <c r="D30" s="43"/>
      <c r="E30" s="43"/>
      <c r="F30" s="43"/>
      <c r="G30" s="44"/>
      <c r="H30" s="45"/>
      <c r="I30" s="45"/>
    </row>
    <row r="31" spans="1:11">
      <c r="A31" s="41"/>
      <c r="B31" s="75" t="s">
        <v>11</v>
      </c>
      <c r="C31" s="41"/>
      <c r="D31" s="43"/>
      <c r="E31" s="43"/>
      <c r="F31" s="43"/>
      <c r="G31" s="44"/>
      <c r="H31" s="45"/>
      <c r="I31" s="45"/>
    </row>
    <row r="32" spans="1:11">
      <c r="A32" s="41"/>
      <c r="B32" s="42" t="s">
        <v>12</v>
      </c>
      <c r="C32" s="41">
        <v>9</v>
      </c>
      <c r="D32" s="33">
        <v>5</v>
      </c>
      <c r="E32" s="33">
        <v>5</v>
      </c>
      <c r="F32" s="33"/>
      <c r="G32" s="56">
        <f>E32*D32*C32</f>
        <v>225</v>
      </c>
      <c r="H32" s="45"/>
      <c r="I32" s="45"/>
    </row>
    <row r="33" spans="1:9">
      <c r="A33" s="41"/>
      <c r="B33" s="45"/>
      <c r="C33" s="41"/>
      <c r="D33" s="43"/>
      <c r="E33" s="43"/>
      <c r="F33" s="43"/>
      <c r="G33" s="44"/>
      <c r="H33" s="80"/>
      <c r="I33" s="45"/>
    </row>
    <row r="34" spans="1:9">
      <c r="A34" s="41"/>
      <c r="B34" s="75" t="s">
        <v>26</v>
      </c>
      <c r="C34" s="41"/>
      <c r="D34" s="43"/>
      <c r="E34" s="43"/>
      <c r="F34" s="43"/>
      <c r="G34" s="44"/>
      <c r="H34" s="45"/>
      <c r="I34" s="45"/>
    </row>
    <row r="35" spans="1:9">
      <c r="A35" s="41"/>
      <c r="B35" s="42" t="str">
        <f t="shared" ref="B35:D36" si="1">B18</f>
        <v>Grid A,B &amp; C</v>
      </c>
      <c r="C35" s="41">
        <f t="shared" si="1"/>
        <v>3</v>
      </c>
      <c r="D35" s="43">
        <f t="shared" si="1"/>
        <v>31.5</v>
      </c>
      <c r="E35" s="33">
        <v>2.25</v>
      </c>
      <c r="F35" s="33"/>
      <c r="G35" s="56">
        <f t="shared" ref="G35:G36" si="2">TRUNC(C35*D35*E35,2)</f>
        <v>212.62</v>
      </c>
      <c r="H35" s="45"/>
      <c r="I35" s="45"/>
    </row>
    <row r="36" spans="1:9">
      <c r="A36" s="41"/>
      <c r="B36" s="42" t="str">
        <f t="shared" si="1"/>
        <v>Grid 1,2 &amp; 3</v>
      </c>
      <c r="C36" s="41">
        <f t="shared" si="1"/>
        <v>3</v>
      </c>
      <c r="D36" s="43">
        <f t="shared" si="1"/>
        <v>25.75</v>
      </c>
      <c r="E36" s="33">
        <v>2.25</v>
      </c>
      <c r="F36" s="33"/>
      <c r="G36" s="56">
        <f t="shared" si="2"/>
        <v>173.81</v>
      </c>
      <c r="H36" s="45"/>
      <c r="I36" s="45"/>
    </row>
    <row r="37" spans="1:9" s="19" customFormat="1">
      <c r="A37" s="41"/>
      <c r="B37" s="42"/>
      <c r="C37" s="41"/>
      <c r="D37" s="33"/>
      <c r="E37" s="33"/>
      <c r="F37" s="33"/>
      <c r="G37" s="56"/>
      <c r="H37" s="45"/>
      <c r="I37" s="45"/>
    </row>
    <row r="38" spans="1:9">
      <c r="A38" s="41"/>
      <c r="B38" s="42"/>
      <c r="C38" s="41"/>
      <c r="D38" s="33"/>
      <c r="E38" s="33"/>
      <c r="F38" s="33"/>
      <c r="G38" s="56">
        <f>SUM(G32:G36)</f>
        <v>611.43000000000006</v>
      </c>
      <c r="H38" s="45" t="s">
        <v>107</v>
      </c>
      <c r="I38" s="45"/>
    </row>
    <row r="39" spans="1:9">
      <c r="A39" s="41"/>
      <c r="B39" s="75" t="s">
        <v>19</v>
      </c>
      <c r="C39" s="74"/>
      <c r="D39" s="78"/>
      <c r="E39" s="78"/>
      <c r="F39" s="78"/>
      <c r="G39" s="40">
        <f>G38/10.76</f>
        <v>56.824349442379187</v>
      </c>
      <c r="H39" s="75" t="s">
        <v>54</v>
      </c>
      <c r="I39" s="45"/>
    </row>
    <row r="40" spans="1:9">
      <c r="A40" s="41"/>
      <c r="B40" s="45"/>
      <c r="C40" s="41"/>
      <c r="D40" s="43"/>
      <c r="E40" s="43"/>
      <c r="F40" s="43"/>
      <c r="G40" s="44"/>
      <c r="H40" s="45"/>
      <c r="I40" s="45"/>
    </row>
    <row r="41" spans="1:9" ht="15.75">
      <c r="A41" s="76">
        <f>A30+1</f>
        <v>5</v>
      </c>
      <c r="B41" s="77" t="s">
        <v>20</v>
      </c>
      <c r="C41" s="41"/>
      <c r="D41" s="43"/>
      <c r="E41" s="43"/>
      <c r="F41" s="43"/>
      <c r="G41" s="44"/>
      <c r="H41" s="45"/>
      <c r="I41" s="45"/>
    </row>
    <row r="42" spans="1:9">
      <c r="A42" s="41"/>
      <c r="B42" s="75" t="s">
        <v>11</v>
      </c>
      <c r="C42" s="41"/>
      <c r="D42" s="43"/>
      <c r="E42" s="43"/>
      <c r="F42" s="43"/>
      <c r="G42" s="44"/>
      <c r="H42" s="45"/>
      <c r="I42" s="45"/>
    </row>
    <row r="43" spans="1:9">
      <c r="A43" s="41"/>
      <c r="B43" s="42" t="s">
        <v>12</v>
      </c>
      <c r="C43" s="41">
        <v>9</v>
      </c>
      <c r="D43" s="33">
        <f>D32</f>
        <v>5</v>
      </c>
      <c r="E43" s="33">
        <f>E32</f>
        <v>5</v>
      </c>
      <c r="F43" s="33">
        <v>0.25</v>
      </c>
      <c r="G43" s="56">
        <f t="shared" ref="G43" si="3">TRUNC(C43*D43*E43*F43,2)</f>
        <v>56.25</v>
      </c>
      <c r="H43" s="45"/>
      <c r="I43" s="45"/>
    </row>
    <row r="44" spans="1:9">
      <c r="A44" s="41"/>
      <c r="B44" s="45"/>
      <c r="C44" s="41"/>
      <c r="D44" s="43"/>
      <c r="E44" s="43"/>
      <c r="F44" s="43"/>
      <c r="G44" s="44"/>
      <c r="H44" s="45"/>
      <c r="I44" s="45"/>
    </row>
    <row r="45" spans="1:9">
      <c r="A45" s="41"/>
      <c r="B45" s="75" t="s">
        <v>13</v>
      </c>
      <c r="C45" s="41"/>
      <c r="D45" s="43"/>
      <c r="E45" s="43"/>
      <c r="F45" s="43"/>
      <c r="G45" s="44"/>
      <c r="H45" s="45"/>
      <c r="I45" s="45"/>
    </row>
    <row r="46" spans="1:9">
      <c r="A46" s="41"/>
      <c r="B46" s="42" t="str">
        <f t="shared" ref="B46:D47" si="4">B35</f>
        <v>Grid A,B &amp; C</v>
      </c>
      <c r="C46" s="41">
        <f t="shared" si="4"/>
        <v>3</v>
      </c>
      <c r="D46" s="43">
        <f t="shared" si="4"/>
        <v>31.5</v>
      </c>
      <c r="E46" s="33">
        <v>2.25</v>
      </c>
      <c r="F46" s="33">
        <v>0.25</v>
      </c>
      <c r="G46" s="56">
        <f t="shared" ref="G46:G47" si="5">TRUNC(C46*D46*E46*F46,2)</f>
        <v>53.15</v>
      </c>
      <c r="H46" s="45"/>
      <c r="I46" s="45"/>
    </row>
    <row r="47" spans="1:9">
      <c r="A47" s="41"/>
      <c r="B47" s="42" t="str">
        <f t="shared" si="4"/>
        <v>Grid 1,2 &amp; 3</v>
      </c>
      <c r="C47" s="41">
        <f t="shared" si="4"/>
        <v>3</v>
      </c>
      <c r="D47" s="43">
        <f t="shared" si="4"/>
        <v>25.75</v>
      </c>
      <c r="E47" s="33">
        <v>2.25</v>
      </c>
      <c r="F47" s="33">
        <v>0.25</v>
      </c>
      <c r="G47" s="56">
        <f t="shared" si="5"/>
        <v>43.45</v>
      </c>
      <c r="H47" s="45"/>
      <c r="I47" s="45"/>
    </row>
    <row r="48" spans="1:9" s="19" customFormat="1">
      <c r="A48" s="41"/>
      <c r="B48" s="42"/>
      <c r="C48" s="41"/>
      <c r="D48" s="33"/>
      <c r="E48" s="33"/>
      <c r="F48" s="33"/>
      <c r="G48" s="56"/>
      <c r="H48" s="45"/>
      <c r="I48" s="45"/>
    </row>
    <row r="49" spans="1:18">
      <c r="A49" s="41"/>
      <c r="B49" s="42"/>
      <c r="C49" s="41"/>
      <c r="D49" s="43"/>
      <c r="E49" s="43"/>
      <c r="F49" s="43"/>
      <c r="G49" s="44">
        <f>SUM(G43:G47)</f>
        <v>152.85000000000002</v>
      </c>
      <c r="H49" s="45" t="s">
        <v>105</v>
      </c>
      <c r="I49" s="45"/>
    </row>
    <row r="50" spans="1:18">
      <c r="A50" s="41"/>
      <c r="B50" s="75" t="s">
        <v>21</v>
      </c>
      <c r="C50" s="74"/>
      <c r="D50" s="78"/>
      <c r="E50" s="78"/>
      <c r="F50" s="78"/>
      <c r="G50" s="40">
        <f>G49/35.31</f>
        <v>4.3288020390824133</v>
      </c>
      <c r="H50" s="75" t="s">
        <v>46</v>
      </c>
      <c r="I50" s="45"/>
    </row>
    <row r="51" spans="1:18">
      <c r="A51" s="41"/>
      <c r="B51" s="45"/>
      <c r="C51" s="41"/>
      <c r="D51" s="43"/>
      <c r="E51" s="43"/>
      <c r="F51" s="43"/>
      <c r="G51" s="44"/>
      <c r="H51" s="45"/>
      <c r="I51" s="45"/>
    </row>
    <row r="52" spans="1:18" ht="15.75">
      <c r="A52" s="76">
        <f>A41+1</f>
        <v>6</v>
      </c>
      <c r="B52" s="77" t="s">
        <v>22</v>
      </c>
      <c r="C52" s="41"/>
      <c r="D52" s="43"/>
      <c r="E52" s="43"/>
      <c r="F52" s="43"/>
      <c r="G52" s="44"/>
      <c r="H52" s="45"/>
      <c r="I52" s="45"/>
    </row>
    <row r="53" spans="1:18">
      <c r="A53" s="41"/>
      <c r="B53" s="75" t="s">
        <v>16</v>
      </c>
      <c r="C53" s="41"/>
      <c r="D53" s="43"/>
      <c r="E53" s="43"/>
      <c r="F53" s="43"/>
      <c r="G53" s="44"/>
      <c r="H53" s="45"/>
      <c r="I53" s="45"/>
      <c r="O53">
        <f>152+576</f>
        <v>728</v>
      </c>
    </row>
    <row r="54" spans="1:18">
      <c r="A54" s="41"/>
      <c r="B54" s="75" t="s">
        <v>11</v>
      </c>
      <c r="C54" s="41"/>
      <c r="D54" s="43"/>
      <c r="E54" s="43"/>
      <c r="F54" s="43"/>
      <c r="G54" s="44"/>
      <c r="H54" s="45"/>
      <c r="I54" s="45"/>
    </row>
    <row r="55" spans="1:18">
      <c r="A55" s="41"/>
      <c r="B55" s="42" t="s">
        <v>12</v>
      </c>
      <c r="C55" s="41">
        <f>C32</f>
        <v>9</v>
      </c>
      <c r="D55" s="33">
        <v>4.5</v>
      </c>
      <c r="E55" s="33">
        <v>4.5</v>
      </c>
      <c r="F55" s="33">
        <v>0.5</v>
      </c>
      <c r="G55" s="56">
        <f>TRUNC(C55*D55*E55*F55,2)</f>
        <v>91.12</v>
      </c>
      <c r="H55" s="45"/>
      <c r="I55" s="45"/>
    </row>
    <row r="56" spans="1:18">
      <c r="A56" s="41"/>
      <c r="B56" s="42"/>
      <c r="C56" s="41">
        <f>C55</f>
        <v>9</v>
      </c>
      <c r="D56" s="33"/>
      <c r="E56" s="33"/>
      <c r="F56" s="33">
        <v>1.67</v>
      </c>
      <c r="G56" s="56">
        <f>TRUNC(C56*(D55*E55+4*((D55+2.5)/2)*((E55+2.5)/2)+2.5*2.5)*F56/6,2)</f>
        <v>189.12</v>
      </c>
      <c r="H56" s="45"/>
      <c r="I56" s="45" t="s">
        <v>23</v>
      </c>
    </row>
    <row r="57" spans="1:18">
      <c r="A57" s="41"/>
      <c r="B57" s="75" t="s">
        <v>24</v>
      </c>
      <c r="C57" s="41"/>
      <c r="D57" s="43"/>
      <c r="E57" s="43"/>
      <c r="F57" s="43"/>
      <c r="G57" s="44"/>
      <c r="H57" s="45"/>
      <c r="I57" s="45"/>
      <c r="O57">
        <f>(O53/35.243)*0.01</f>
        <v>0.20656584286241239</v>
      </c>
      <c r="P57">
        <v>7850</v>
      </c>
      <c r="Q57">
        <v>1E-3</v>
      </c>
      <c r="R57">
        <f>O57*P57*Q57</f>
        <v>1.6215418664699373</v>
      </c>
    </row>
    <row r="58" spans="1:18">
      <c r="A58" s="41"/>
      <c r="B58" s="42" t="s">
        <v>25</v>
      </c>
      <c r="C58" s="41">
        <f>C55</f>
        <v>9</v>
      </c>
      <c r="D58" s="33">
        <v>1</v>
      </c>
      <c r="E58" s="33">
        <v>1</v>
      </c>
      <c r="F58" s="33">
        <f>3.33+1</f>
        <v>4.33</v>
      </c>
      <c r="G58" s="56">
        <f t="shared" ref="G58" si="6">TRUNC(C58*D58*E58*F58,2)</f>
        <v>38.97</v>
      </c>
      <c r="H58" s="45"/>
      <c r="I58" s="45"/>
    </row>
    <row r="59" spans="1:18" s="19" customFormat="1">
      <c r="A59" s="41"/>
      <c r="B59" s="75" t="s">
        <v>146</v>
      </c>
      <c r="C59" s="41"/>
      <c r="D59" s="43"/>
      <c r="E59" s="43"/>
      <c r="F59" s="43"/>
      <c r="G59" s="44"/>
      <c r="H59" s="45"/>
      <c r="I59" s="45"/>
    </row>
    <row r="60" spans="1:18" s="19" customFormat="1">
      <c r="A60" s="41"/>
      <c r="B60" s="42" t="str">
        <f>B64</f>
        <v>Grid A,B &amp; C</v>
      </c>
      <c r="C60" s="41">
        <v>3</v>
      </c>
      <c r="D60" s="33">
        <f>D46</f>
        <v>31.5</v>
      </c>
      <c r="E60" s="33">
        <v>0.75</v>
      </c>
      <c r="F60" s="33">
        <v>1</v>
      </c>
      <c r="G60" s="56">
        <f t="shared" ref="G60:G61" si="7">TRUNC(C60*D60*E60*F60,2)</f>
        <v>70.87</v>
      </c>
      <c r="H60" s="45"/>
      <c r="I60" s="45"/>
    </row>
    <row r="61" spans="1:18" s="19" customFormat="1">
      <c r="A61" s="41"/>
      <c r="B61" s="42" t="str">
        <f>B65</f>
        <v>Grid 1,2 &amp; 3</v>
      </c>
      <c r="C61" s="41">
        <v>3</v>
      </c>
      <c r="D61" s="43">
        <f>D47</f>
        <v>25.75</v>
      </c>
      <c r="E61" s="33">
        <v>0.75</v>
      </c>
      <c r="F61" s="33">
        <v>1</v>
      </c>
      <c r="G61" s="56">
        <f t="shared" si="7"/>
        <v>57.93</v>
      </c>
      <c r="H61" s="45"/>
      <c r="I61" s="45"/>
    </row>
    <row r="62" spans="1:18">
      <c r="A62" s="41"/>
      <c r="B62" s="45"/>
      <c r="C62" s="41"/>
      <c r="D62" s="43"/>
      <c r="E62" s="43"/>
      <c r="F62" s="43"/>
      <c r="G62" s="44"/>
      <c r="H62" s="80"/>
      <c r="I62" s="45"/>
    </row>
    <row r="63" spans="1:18">
      <c r="A63" s="41"/>
      <c r="B63" s="75" t="s">
        <v>26</v>
      </c>
      <c r="C63" s="41"/>
      <c r="D63" s="43"/>
      <c r="E63" s="43"/>
      <c r="F63" s="43"/>
      <c r="G63" s="44"/>
      <c r="H63" s="45"/>
      <c r="I63" s="45"/>
    </row>
    <row r="64" spans="1:18">
      <c r="A64" s="41"/>
      <c r="B64" s="42" t="str">
        <f>B46</f>
        <v>Grid A,B &amp; C</v>
      </c>
      <c r="C64" s="41">
        <f>C46</f>
        <v>3</v>
      </c>
      <c r="D64" s="33">
        <f>D60</f>
        <v>31.5</v>
      </c>
      <c r="E64" s="33">
        <v>0.75</v>
      </c>
      <c r="F64" s="33">
        <v>1</v>
      </c>
      <c r="G64" s="56">
        <f t="shared" ref="G64:G65" si="8">TRUNC(C64*D64*E64*F64,2)</f>
        <v>70.87</v>
      </c>
      <c r="H64" s="45"/>
      <c r="I64" s="45"/>
    </row>
    <row r="65" spans="1:9">
      <c r="A65" s="41"/>
      <c r="B65" s="42" t="str">
        <f>B47</f>
        <v>Grid 1,2 &amp; 3</v>
      </c>
      <c r="C65" s="41">
        <f>C47</f>
        <v>3</v>
      </c>
      <c r="D65" s="43">
        <f>D61</f>
        <v>25.75</v>
      </c>
      <c r="E65" s="33">
        <v>0.75</v>
      </c>
      <c r="F65" s="33">
        <v>1</v>
      </c>
      <c r="G65" s="56">
        <f t="shared" si="8"/>
        <v>57.93</v>
      </c>
      <c r="H65" s="45"/>
      <c r="I65" s="45"/>
    </row>
    <row r="66" spans="1:9">
      <c r="A66" s="41"/>
      <c r="B66" s="42"/>
      <c r="C66" s="41"/>
      <c r="D66" s="43"/>
      <c r="E66" s="43"/>
      <c r="F66" s="43"/>
      <c r="G66" s="44"/>
      <c r="H66" s="45"/>
      <c r="I66" s="45"/>
    </row>
    <row r="67" spans="1:9">
      <c r="A67" s="41"/>
      <c r="B67" s="42"/>
      <c r="C67" s="41"/>
      <c r="D67" s="43"/>
      <c r="E67" s="43"/>
      <c r="F67" s="43"/>
      <c r="G67" s="44">
        <f>SUM(G55:G65)</f>
        <v>576.81000000000006</v>
      </c>
      <c r="H67" s="45" t="s">
        <v>105</v>
      </c>
      <c r="I67" s="45"/>
    </row>
    <row r="68" spans="1:9">
      <c r="A68" s="41"/>
      <c r="B68" s="75" t="s">
        <v>27</v>
      </c>
      <c r="C68" s="74"/>
      <c r="D68" s="78"/>
      <c r="E68" s="78"/>
      <c r="F68" s="78"/>
      <c r="G68" s="40">
        <f>G67/35.3</f>
        <v>16.340226628895188</v>
      </c>
      <c r="H68" s="75" t="s">
        <v>46</v>
      </c>
      <c r="I68" s="45"/>
    </row>
    <row r="69" spans="1:9">
      <c r="A69" s="41"/>
      <c r="B69" s="45"/>
      <c r="C69" s="41"/>
      <c r="D69" s="43"/>
      <c r="E69" s="43"/>
      <c r="F69" s="43"/>
      <c r="G69" s="44"/>
      <c r="H69" s="45"/>
      <c r="I69" s="45"/>
    </row>
    <row r="70" spans="1:9">
      <c r="A70" s="41"/>
      <c r="B70" s="75" t="s">
        <v>28</v>
      </c>
      <c r="C70" s="41"/>
      <c r="D70" s="43"/>
      <c r="E70" s="43"/>
      <c r="F70" s="43"/>
      <c r="G70" s="44"/>
      <c r="H70" s="45"/>
      <c r="I70" s="45"/>
    </row>
    <row r="71" spans="1:9">
      <c r="A71" s="41"/>
      <c r="B71" s="75" t="s">
        <v>24</v>
      </c>
      <c r="C71" s="41"/>
      <c r="D71" s="43"/>
      <c r="E71" s="43"/>
      <c r="F71" s="43"/>
      <c r="G71" s="44"/>
      <c r="H71" s="45"/>
      <c r="I71" s="45"/>
    </row>
    <row r="72" spans="1:9">
      <c r="A72" s="41"/>
      <c r="B72" s="42"/>
      <c r="C72" s="41">
        <f>C58</f>
        <v>9</v>
      </c>
      <c r="D72" s="33">
        <v>1</v>
      </c>
      <c r="E72" s="33">
        <f>E58</f>
        <v>1</v>
      </c>
      <c r="F72" s="33">
        <v>9</v>
      </c>
      <c r="G72" s="56">
        <f t="shared" ref="G72" si="9">TRUNC(C72*D72*E72*F72,2)</f>
        <v>81</v>
      </c>
      <c r="H72" s="45"/>
      <c r="I72" s="45"/>
    </row>
    <row r="73" spans="1:9">
      <c r="A73" s="41"/>
      <c r="B73" s="45"/>
      <c r="C73" s="41"/>
      <c r="D73" s="33"/>
      <c r="E73" s="33"/>
      <c r="F73" s="33"/>
      <c r="G73" s="56"/>
      <c r="H73" s="45"/>
      <c r="I73" s="45"/>
    </row>
    <row r="74" spans="1:9">
      <c r="A74" s="41"/>
      <c r="B74" s="75" t="s">
        <v>55</v>
      </c>
      <c r="C74" s="41"/>
      <c r="D74" s="33"/>
      <c r="E74" s="33"/>
      <c r="F74" s="33"/>
      <c r="G74" s="56"/>
      <c r="H74" s="45"/>
      <c r="I74" s="45"/>
    </row>
    <row r="75" spans="1:9">
      <c r="A75" s="41"/>
      <c r="B75" s="42" t="str">
        <f t="shared" ref="B75:D76" si="10">B64</f>
        <v>Grid A,B &amp; C</v>
      </c>
      <c r="C75" s="41">
        <f t="shared" si="10"/>
        <v>3</v>
      </c>
      <c r="D75" s="43">
        <f t="shared" si="10"/>
        <v>31.5</v>
      </c>
      <c r="E75" s="43">
        <v>0.75</v>
      </c>
      <c r="F75" s="43">
        <v>1.08</v>
      </c>
      <c r="G75" s="44">
        <f t="shared" ref="G75:G76" si="11">TRUNC(C75*D75*E75*F75,2)</f>
        <v>76.540000000000006</v>
      </c>
      <c r="H75" s="45"/>
      <c r="I75" s="45"/>
    </row>
    <row r="76" spans="1:9">
      <c r="A76" s="41"/>
      <c r="B76" s="42" t="str">
        <f t="shared" si="10"/>
        <v>Grid 1,2 &amp; 3</v>
      </c>
      <c r="C76" s="41">
        <f t="shared" si="10"/>
        <v>3</v>
      </c>
      <c r="D76" s="43">
        <f t="shared" si="10"/>
        <v>25.75</v>
      </c>
      <c r="E76" s="43">
        <v>0.75</v>
      </c>
      <c r="F76" s="43">
        <v>1.08</v>
      </c>
      <c r="G76" s="44">
        <f t="shared" si="11"/>
        <v>62.57</v>
      </c>
      <c r="H76" s="45"/>
      <c r="I76" s="45"/>
    </row>
    <row r="77" spans="1:9">
      <c r="A77" s="41"/>
      <c r="B77" s="42"/>
      <c r="C77" s="41"/>
      <c r="D77" s="46"/>
      <c r="E77" s="33"/>
      <c r="F77" s="33"/>
      <c r="G77" s="56"/>
      <c r="H77" s="45"/>
      <c r="I77" s="45"/>
    </row>
    <row r="78" spans="1:9">
      <c r="A78" s="41"/>
      <c r="B78" s="45"/>
      <c r="C78" s="41"/>
      <c r="D78" s="33"/>
      <c r="E78" s="33"/>
      <c r="F78" s="33"/>
      <c r="G78" s="56"/>
      <c r="H78" s="45"/>
      <c r="I78" s="45"/>
    </row>
    <row r="79" spans="1:9">
      <c r="A79" s="41"/>
      <c r="B79" s="42"/>
      <c r="C79" s="41"/>
      <c r="D79" s="33"/>
      <c r="E79" s="33"/>
      <c r="F79" s="33"/>
      <c r="G79" s="56"/>
      <c r="H79" s="45"/>
      <c r="I79" s="45"/>
    </row>
    <row r="80" spans="1:9">
      <c r="A80" s="41"/>
      <c r="B80" s="75" t="s">
        <v>56</v>
      </c>
      <c r="C80" s="41"/>
      <c r="D80" s="33"/>
      <c r="E80" s="33"/>
      <c r="F80" s="33"/>
      <c r="G80" s="56"/>
      <c r="H80" s="45"/>
      <c r="I80" s="45"/>
    </row>
    <row r="81" spans="1:9">
      <c r="A81" s="41"/>
      <c r="B81" s="81" t="s">
        <v>57</v>
      </c>
      <c r="C81" s="41"/>
      <c r="D81" s="33"/>
      <c r="E81" s="33"/>
      <c r="F81" s="33"/>
      <c r="G81" s="56"/>
      <c r="H81" s="45"/>
      <c r="I81" s="45"/>
    </row>
    <row r="82" spans="1:9">
      <c r="A82" s="41"/>
      <c r="B82" s="81" t="s">
        <v>81</v>
      </c>
      <c r="C82" s="41"/>
      <c r="D82" s="43"/>
      <c r="E82" s="33"/>
      <c r="F82" s="33"/>
      <c r="G82" s="56"/>
      <c r="H82" s="45"/>
      <c r="I82" s="45"/>
    </row>
    <row r="83" spans="1:9">
      <c r="A83" s="41"/>
      <c r="B83" s="42" t="s">
        <v>132</v>
      </c>
      <c r="C83" s="41">
        <v>2</v>
      </c>
      <c r="D83" s="43">
        <f>D76</f>
        <v>25.75</v>
      </c>
      <c r="E83" s="43">
        <v>0.75</v>
      </c>
      <c r="F83" s="43">
        <v>0.25</v>
      </c>
      <c r="G83" s="44">
        <f t="shared" ref="G83:G84" si="12">TRUNC(C83*D83*E83*F83,2)</f>
        <v>9.65</v>
      </c>
      <c r="H83" s="45"/>
      <c r="I83" s="45"/>
    </row>
    <row r="84" spans="1:9">
      <c r="A84" s="41"/>
      <c r="B84" s="42" t="s">
        <v>130</v>
      </c>
      <c r="C84" s="41">
        <v>2</v>
      </c>
      <c r="D84" s="43">
        <f>D75</f>
        <v>31.5</v>
      </c>
      <c r="E84" s="43">
        <v>0.75</v>
      </c>
      <c r="F84" s="43">
        <v>0.25</v>
      </c>
      <c r="G84" s="44">
        <f t="shared" si="12"/>
        <v>11.81</v>
      </c>
      <c r="H84" s="45"/>
      <c r="I84" s="45"/>
    </row>
    <row r="85" spans="1:9">
      <c r="A85" s="41"/>
      <c r="B85" s="42"/>
      <c r="C85" s="41"/>
      <c r="D85" s="43"/>
      <c r="E85" s="33"/>
      <c r="F85" s="33"/>
      <c r="G85" s="56"/>
      <c r="H85" s="45"/>
      <c r="I85" s="45"/>
    </row>
    <row r="86" spans="1:9">
      <c r="A86" s="41"/>
      <c r="B86" s="42" t="s">
        <v>35</v>
      </c>
      <c r="C86" s="41"/>
      <c r="D86" s="43"/>
      <c r="E86" s="33"/>
      <c r="F86" s="33"/>
      <c r="G86" s="56"/>
      <c r="H86" s="45"/>
      <c r="I86" s="45"/>
    </row>
    <row r="87" spans="1:9">
      <c r="A87" s="41"/>
      <c r="B87" s="70" t="s">
        <v>138</v>
      </c>
      <c r="C87" s="41">
        <v>-1</v>
      </c>
      <c r="D87" s="43">
        <v>4</v>
      </c>
      <c r="E87" s="33">
        <v>0.75</v>
      </c>
      <c r="F87" s="33">
        <v>0.5</v>
      </c>
      <c r="G87" s="56">
        <f t="shared" ref="G87" si="13">TRUNC(C87*D87*E87*F87,2)</f>
        <v>-1.5</v>
      </c>
      <c r="H87" s="45"/>
      <c r="I87" s="45"/>
    </row>
    <row r="88" spans="1:9">
      <c r="A88" s="41"/>
      <c r="B88" s="42"/>
      <c r="C88" s="41"/>
      <c r="D88" s="33"/>
      <c r="E88" s="33"/>
      <c r="F88" s="33"/>
      <c r="G88" s="56"/>
      <c r="H88" s="80"/>
      <c r="I88" s="45"/>
    </row>
    <row r="89" spans="1:9">
      <c r="A89" s="41"/>
      <c r="B89" s="81" t="s">
        <v>104</v>
      </c>
      <c r="C89" s="41"/>
      <c r="D89" s="33"/>
      <c r="E89" s="33"/>
      <c r="F89" s="33"/>
      <c r="G89" s="56"/>
      <c r="H89" s="80"/>
      <c r="I89" s="45"/>
    </row>
    <row r="90" spans="1:9">
      <c r="A90" s="41"/>
      <c r="B90" s="81" t="s">
        <v>81</v>
      </c>
      <c r="C90" s="41"/>
      <c r="D90" s="43"/>
      <c r="E90" s="33"/>
      <c r="F90" s="33"/>
      <c r="G90" s="56"/>
      <c r="H90" s="45"/>
      <c r="I90" s="45"/>
    </row>
    <row r="91" spans="1:9">
      <c r="A91" s="41"/>
      <c r="B91" s="42" t="str">
        <f>B83</f>
        <v>Grid 1 &amp; 3</v>
      </c>
      <c r="C91" s="41">
        <v>2</v>
      </c>
      <c r="D91" s="33">
        <f>D83</f>
        <v>25.75</v>
      </c>
      <c r="E91" s="33">
        <v>0.75</v>
      </c>
      <c r="F91" s="33">
        <v>0.5</v>
      </c>
      <c r="G91" s="56">
        <f t="shared" ref="G91:G92" si="14">TRUNC(C91*D91*E91*F91,2)</f>
        <v>19.309999999999999</v>
      </c>
      <c r="H91" s="45"/>
      <c r="I91" s="45"/>
    </row>
    <row r="92" spans="1:9">
      <c r="A92" s="41"/>
      <c r="B92" s="42" t="str">
        <f>B84</f>
        <v>Grid A &amp; C</v>
      </c>
      <c r="C92" s="41">
        <v>2</v>
      </c>
      <c r="D92" s="33">
        <f>D84</f>
        <v>31.5</v>
      </c>
      <c r="E92" s="33">
        <v>0.75</v>
      </c>
      <c r="F92" s="33">
        <v>0.5</v>
      </c>
      <c r="G92" s="56">
        <f t="shared" si="14"/>
        <v>23.62</v>
      </c>
      <c r="H92" s="45"/>
      <c r="I92" s="45"/>
    </row>
    <row r="93" spans="1:9">
      <c r="A93" s="41"/>
      <c r="B93" s="42"/>
      <c r="C93" s="41"/>
      <c r="D93" s="43"/>
      <c r="E93" s="33"/>
      <c r="F93" s="33"/>
      <c r="G93" s="56"/>
      <c r="H93" s="45"/>
      <c r="I93" s="45"/>
    </row>
    <row r="94" spans="1:9">
      <c r="A94" s="41"/>
      <c r="B94" s="42"/>
      <c r="C94" s="41"/>
      <c r="D94" s="43"/>
      <c r="E94" s="33"/>
      <c r="F94" s="33"/>
      <c r="G94" s="56">
        <f>SUM(G72:G92)</f>
        <v>283</v>
      </c>
      <c r="H94" s="45" t="s">
        <v>105</v>
      </c>
      <c r="I94" s="45"/>
    </row>
    <row r="95" spans="1:9">
      <c r="A95" s="41"/>
      <c r="B95" s="75" t="s">
        <v>29</v>
      </c>
      <c r="C95" s="74"/>
      <c r="D95" s="82"/>
      <c r="E95" s="82"/>
      <c r="F95" s="82"/>
      <c r="G95" s="83">
        <f>G94/35.3</f>
        <v>8.0169971671388112</v>
      </c>
      <c r="H95" s="75" t="s">
        <v>46</v>
      </c>
      <c r="I95" s="45"/>
    </row>
    <row r="96" spans="1:9">
      <c r="A96" s="41"/>
      <c r="B96" s="45"/>
      <c r="C96" s="41"/>
      <c r="D96" s="33"/>
      <c r="E96" s="33"/>
      <c r="F96" s="33"/>
      <c r="G96" s="56"/>
      <c r="H96" s="45"/>
      <c r="I96" s="45"/>
    </row>
    <row r="97" spans="1:9">
      <c r="A97" s="41"/>
      <c r="B97" s="75" t="s">
        <v>30</v>
      </c>
      <c r="C97" s="74"/>
      <c r="D97" s="82"/>
      <c r="E97" s="82"/>
      <c r="F97" s="82"/>
      <c r="G97" s="83">
        <f>G68+G95</f>
        <v>24.357223796033999</v>
      </c>
      <c r="H97" s="75" t="s">
        <v>46</v>
      </c>
      <c r="I97" s="45"/>
    </row>
    <row r="98" spans="1:9">
      <c r="A98" s="41"/>
      <c r="B98" s="45"/>
      <c r="C98" s="41"/>
      <c r="D98" s="43"/>
      <c r="E98" s="43"/>
      <c r="F98" s="43"/>
      <c r="G98" s="44"/>
      <c r="H98" s="45"/>
      <c r="I98" s="45"/>
    </row>
    <row r="99" spans="1:9" ht="15.75">
      <c r="A99" s="76">
        <v>7</v>
      </c>
      <c r="B99" s="77" t="s">
        <v>41</v>
      </c>
      <c r="C99" s="41"/>
      <c r="D99" s="43"/>
      <c r="E99" s="43"/>
      <c r="F99" s="43"/>
      <c r="G99" s="44"/>
      <c r="H99" s="45"/>
      <c r="I99" s="45"/>
    </row>
    <row r="100" spans="1:9">
      <c r="A100" s="41"/>
      <c r="B100" s="75"/>
      <c r="C100" s="41"/>
      <c r="D100" s="43"/>
      <c r="E100" s="43"/>
      <c r="F100" s="43"/>
      <c r="G100" s="44"/>
      <c r="H100" s="45"/>
      <c r="I100" s="45"/>
    </row>
    <row r="101" spans="1:9">
      <c r="A101" s="41"/>
      <c r="B101" s="75" t="s">
        <v>11</v>
      </c>
      <c r="C101" s="41"/>
      <c r="D101" s="43"/>
      <c r="E101" s="43"/>
      <c r="F101" s="43"/>
      <c r="G101" s="44"/>
      <c r="H101" s="45"/>
      <c r="I101" s="45"/>
    </row>
    <row r="102" spans="1:9">
      <c r="A102" s="41"/>
      <c r="B102" s="84" t="s">
        <v>58</v>
      </c>
      <c r="C102" s="41"/>
      <c r="D102" s="43"/>
      <c r="E102" s="43"/>
      <c r="F102" s="43"/>
      <c r="G102" s="44"/>
      <c r="H102" s="45"/>
      <c r="I102" s="45"/>
    </row>
    <row r="103" spans="1:9">
      <c r="A103" s="41"/>
      <c r="B103" s="42" t="s">
        <v>12</v>
      </c>
      <c r="C103" s="41">
        <v>197.5</v>
      </c>
      <c r="D103" s="43">
        <f>(4.17+2*0.25)/3.281</f>
        <v>1.4233465406888144</v>
      </c>
      <c r="E103" s="43"/>
      <c r="F103" s="43">
        <v>0.89</v>
      </c>
      <c r="G103" s="44">
        <f>TRUNC(C103*D103*F103,2)</f>
        <v>250.18</v>
      </c>
      <c r="H103" s="45"/>
      <c r="I103" s="266" t="s">
        <v>125</v>
      </c>
    </row>
    <row r="104" spans="1:9">
      <c r="A104" s="41"/>
      <c r="B104" s="81" t="s">
        <v>63</v>
      </c>
      <c r="C104" s="41"/>
      <c r="D104" s="43"/>
      <c r="E104" s="43"/>
      <c r="F104" s="43"/>
      <c r="G104" s="40">
        <f>SUM(G102:G103)</f>
        <v>250.18</v>
      </c>
      <c r="H104" s="45"/>
      <c r="I104" s="267"/>
    </row>
    <row r="105" spans="1:9" s="19" customFormat="1">
      <c r="A105" s="41"/>
      <c r="B105" s="75" t="s">
        <v>146</v>
      </c>
      <c r="C105" s="41"/>
      <c r="D105" s="43"/>
      <c r="E105" s="43"/>
      <c r="F105" s="43"/>
      <c r="G105" s="44"/>
      <c r="H105" s="45"/>
      <c r="I105" s="45"/>
    </row>
    <row r="106" spans="1:9" s="19" customFormat="1">
      <c r="A106" s="41"/>
      <c r="B106" s="84" t="s">
        <v>59</v>
      </c>
      <c r="C106" s="41"/>
      <c r="D106" s="43"/>
      <c r="E106" s="43"/>
      <c r="F106" s="43"/>
      <c r="G106" s="44"/>
      <c r="H106" s="45"/>
      <c r="I106" s="45"/>
    </row>
    <row r="107" spans="1:9" s="19" customFormat="1">
      <c r="A107" s="41"/>
      <c r="B107" s="42" t="str">
        <f>B115</f>
        <v>Grid A,B &amp; C</v>
      </c>
      <c r="C107" s="41">
        <v>12</v>
      </c>
      <c r="D107" s="33">
        <f>(31.5/3.281+2*0.9)</f>
        <v>11.400731484303567</v>
      </c>
      <c r="E107" s="43"/>
      <c r="F107" s="43">
        <f>1.58</f>
        <v>1.58</v>
      </c>
      <c r="G107" s="44">
        <f>TRUNC(C107*D107*F107,2)</f>
        <v>216.15</v>
      </c>
      <c r="H107" s="45"/>
      <c r="I107" s="45"/>
    </row>
    <row r="108" spans="1:9" s="19" customFormat="1">
      <c r="A108" s="41"/>
      <c r="B108" s="42" t="s">
        <v>124</v>
      </c>
      <c r="C108" s="41">
        <v>12</v>
      </c>
      <c r="D108" s="33">
        <f>(25.75/3.281+2*0.9)</f>
        <v>9.6482170070100572</v>
      </c>
      <c r="E108" s="43"/>
      <c r="F108" s="78">
        <f t="shared" ref="F108" si="15">1.58</f>
        <v>1.58</v>
      </c>
      <c r="G108" s="44">
        <f>TRUNC(C108*D108*F108,2)</f>
        <v>182.93</v>
      </c>
      <c r="H108" s="45"/>
      <c r="I108" s="45"/>
    </row>
    <row r="109" spans="1:9" s="19" customFormat="1">
      <c r="A109" s="41"/>
      <c r="B109" s="81" t="s">
        <v>58</v>
      </c>
      <c r="C109" s="41"/>
      <c r="D109" s="33"/>
      <c r="E109" s="43"/>
      <c r="F109" s="78" t="s">
        <v>117</v>
      </c>
      <c r="G109" s="44">
        <f>SUM(G107:G108)</f>
        <v>399.08000000000004</v>
      </c>
      <c r="H109" s="45"/>
      <c r="I109" s="45"/>
    </row>
    <row r="110" spans="1:9" s="19" customFormat="1">
      <c r="A110" s="41"/>
      <c r="B110" s="42" t="str">
        <f>B107</f>
        <v>Grid A,B &amp; C</v>
      </c>
      <c r="C110" s="41">
        <v>6</v>
      </c>
      <c r="D110" s="33">
        <f>D107</f>
        <v>11.400731484303567</v>
      </c>
      <c r="E110" s="43"/>
      <c r="F110" s="43">
        <v>0.89</v>
      </c>
      <c r="G110" s="44">
        <f>F110*D110*C110</f>
        <v>60.879906126181055</v>
      </c>
      <c r="H110" s="45"/>
      <c r="I110" s="45"/>
    </row>
    <row r="111" spans="1:9" s="19" customFormat="1" ht="15.75" customHeight="1">
      <c r="A111" s="41"/>
      <c r="B111" s="42" t="str">
        <f>B108</f>
        <v>Grid 1,2 &amp; 3</v>
      </c>
      <c r="C111" s="41">
        <v>6</v>
      </c>
      <c r="D111" s="33">
        <f>D108</f>
        <v>9.6482170070100572</v>
      </c>
      <c r="E111" s="43"/>
      <c r="F111" s="43">
        <v>0.89</v>
      </c>
      <c r="G111" s="44">
        <f>F111*D111*C111</f>
        <v>51.52147881743371</v>
      </c>
      <c r="H111" s="45"/>
      <c r="I111" s="45"/>
    </row>
    <row r="112" spans="1:9">
      <c r="A112" s="41"/>
      <c r="B112" s="75"/>
      <c r="C112" s="74"/>
      <c r="D112" s="78"/>
      <c r="E112" s="78"/>
      <c r="F112" s="78" t="s">
        <v>117</v>
      </c>
      <c r="G112" s="40">
        <f>SUM(G110:G111)</f>
        <v>112.40138494361477</v>
      </c>
      <c r="H112" s="75"/>
      <c r="I112" s="85"/>
    </row>
    <row r="113" spans="1:9">
      <c r="A113" s="41"/>
      <c r="B113" s="75" t="s">
        <v>26</v>
      </c>
      <c r="C113" s="41"/>
      <c r="D113" s="43"/>
      <c r="E113" s="43"/>
      <c r="F113" s="43"/>
      <c r="G113" s="44"/>
      <c r="H113" s="45"/>
      <c r="I113" s="45"/>
    </row>
    <row r="114" spans="1:9">
      <c r="A114" s="41"/>
      <c r="B114" s="84" t="s">
        <v>59</v>
      </c>
      <c r="C114" s="41"/>
      <c r="D114" s="43"/>
      <c r="E114" s="43"/>
      <c r="F114" s="43"/>
      <c r="G114" s="44"/>
      <c r="H114" s="45"/>
      <c r="I114" s="45"/>
    </row>
    <row r="115" spans="1:9">
      <c r="A115" s="41"/>
      <c r="B115" s="42" t="str">
        <f>B75</f>
        <v>Grid A,B &amp; C</v>
      </c>
      <c r="C115" s="41">
        <f>C64*4</f>
        <v>12</v>
      </c>
      <c r="D115" s="33">
        <f>D110</f>
        <v>11.400731484303567</v>
      </c>
      <c r="E115" s="43"/>
      <c r="F115" s="43">
        <f>1.58</f>
        <v>1.58</v>
      </c>
      <c r="G115" s="44">
        <f>TRUNC(C115*D115*F115,2)</f>
        <v>216.15</v>
      </c>
      <c r="H115" s="45"/>
      <c r="I115" s="45"/>
    </row>
    <row r="116" spans="1:9">
      <c r="A116" s="41"/>
      <c r="B116" s="42" t="s">
        <v>124</v>
      </c>
      <c r="C116" s="41">
        <f>C65*4</f>
        <v>12</v>
      </c>
      <c r="D116" s="33">
        <f>D111</f>
        <v>9.6482170070100572</v>
      </c>
      <c r="E116" s="43"/>
      <c r="F116" s="78">
        <f t="shared" ref="F116" si="16">1.58</f>
        <v>1.58</v>
      </c>
      <c r="G116" s="44">
        <f>TRUNC(C116*D116*F116,2)</f>
        <v>182.93</v>
      </c>
      <c r="H116" s="45"/>
      <c r="I116" s="45"/>
    </row>
    <row r="117" spans="1:9" s="19" customFormat="1">
      <c r="A117" s="41"/>
      <c r="B117" s="81" t="s">
        <v>58</v>
      </c>
      <c r="C117" s="41"/>
      <c r="D117" s="33"/>
      <c r="E117" s="43"/>
      <c r="F117" s="78" t="s">
        <v>117</v>
      </c>
      <c r="G117" s="44">
        <f>SUM(G115:G116)</f>
        <v>399.08000000000004</v>
      </c>
      <c r="H117" s="45"/>
      <c r="I117" s="45"/>
    </row>
    <row r="118" spans="1:9" s="19" customFormat="1">
      <c r="A118" s="41"/>
      <c r="B118" s="42" t="str">
        <f>B115</f>
        <v>Grid A,B &amp; C</v>
      </c>
      <c r="C118" s="41">
        <v>6</v>
      </c>
      <c r="D118" s="33">
        <f>D115</f>
        <v>11.400731484303567</v>
      </c>
      <c r="E118" s="43"/>
      <c r="F118" s="43">
        <v>0.89</v>
      </c>
      <c r="G118" s="44">
        <f>F118*D118*C118</f>
        <v>60.879906126181055</v>
      </c>
      <c r="H118" s="45"/>
      <c r="I118" s="45"/>
    </row>
    <row r="119" spans="1:9" s="19" customFormat="1" ht="15.75" customHeight="1">
      <c r="A119" s="41"/>
      <c r="B119" s="42" t="str">
        <f>B116</f>
        <v>Grid 1,2 &amp; 3</v>
      </c>
      <c r="C119" s="41">
        <v>6</v>
      </c>
      <c r="D119" s="33">
        <f>D116</f>
        <v>9.6482170070100572</v>
      </c>
      <c r="E119" s="43"/>
      <c r="F119" s="43">
        <v>0.89</v>
      </c>
      <c r="G119" s="44">
        <f>F119*D119*C119</f>
        <v>51.52147881743371</v>
      </c>
      <c r="H119" s="45"/>
      <c r="I119" s="45"/>
    </row>
    <row r="120" spans="1:9" s="19" customFormat="1" ht="15.75" customHeight="1">
      <c r="A120" s="41"/>
      <c r="B120" s="42"/>
      <c r="C120" s="41"/>
      <c r="D120" s="33"/>
      <c r="E120" s="43"/>
      <c r="F120" s="78" t="s">
        <v>117</v>
      </c>
      <c r="G120" s="40">
        <f>SUM(G118:G119)</f>
        <v>112.40138494361477</v>
      </c>
      <c r="H120" s="45"/>
      <c r="I120" s="45"/>
    </row>
    <row r="121" spans="1:9">
      <c r="A121" s="41"/>
      <c r="B121" s="81" t="s">
        <v>72</v>
      </c>
      <c r="C121" s="41"/>
      <c r="D121" s="43"/>
      <c r="E121" s="43"/>
      <c r="F121" s="43"/>
      <c r="G121" s="40">
        <f>G120+G117+G112+G109</f>
        <v>1022.9627698872296</v>
      </c>
      <c r="H121" s="45"/>
      <c r="I121" s="45"/>
    </row>
    <row r="122" spans="1:9">
      <c r="A122" s="41"/>
      <c r="B122" s="81" t="s">
        <v>70</v>
      </c>
      <c r="C122" s="41"/>
      <c r="D122" s="43"/>
      <c r="E122" s="43"/>
      <c r="F122" s="43"/>
      <c r="G122" s="40">
        <f>TRUNC(G121*0.1,2)</f>
        <v>102.29</v>
      </c>
      <c r="H122" s="45"/>
      <c r="I122" s="45"/>
    </row>
    <row r="123" spans="1:9" s="19" customFormat="1">
      <c r="A123" s="41"/>
      <c r="B123" s="81"/>
      <c r="C123" s="41"/>
      <c r="D123" s="43"/>
      <c r="E123" s="43"/>
      <c r="F123" s="43"/>
      <c r="G123" s="40"/>
      <c r="H123" s="45"/>
      <c r="I123" s="45"/>
    </row>
    <row r="124" spans="1:9">
      <c r="A124" s="41"/>
      <c r="B124" s="84" t="s">
        <v>67</v>
      </c>
      <c r="C124" s="41"/>
      <c r="D124" s="43"/>
      <c r="E124" s="43"/>
      <c r="F124" s="43"/>
      <c r="G124" s="40"/>
      <c r="H124" s="45"/>
      <c r="I124" s="45"/>
    </row>
    <row r="125" spans="1:9">
      <c r="A125" s="41"/>
      <c r="B125" s="42" t="s">
        <v>147</v>
      </c>
      <c r="C125" s="41"/>
      <c r="D125" s="43"/>
      <c r="E125" s="43"/>
      <c r="F125" s="43"/>
      <c r="G125" s="44"/>
      <c r="H125" s="45"/>
      <c r="I125" s="45"/>
    </row>
    <row r="126" spans="1:9">
      <c r="A126" s="41"/>
      <c r="B126" s="42" t="str">
        <f>B115</f>
        <v>Grid A,B &amp; C</v>
      </c>
      <c r="C126" s="41">
        <f>3*68*2</f>
        <v>408</v>
      </c>
      <c r="D126" s="43">
        <f>(2*0.58+2*0.83+2*0.25)/3.281</f>
        <v>1.0118866199329473</v>
      </c>
      <c r="E126" s="43"/>
      <c r="F126" s="43">
        <v>0.39</v>
      </c>
      <c r="G126" s="44">
        <f t="shared" ref="G126" si="17">TRUNC(C126*D126*F126,2)</f>
        <v>161.01</v>
      </c>
      <c r="H126" s="45"/>
      <c r="I126" s="45"/>
    </row>
    <row r="127" spans="1:9">
      <c r="A127" s="41"/>
      <c r="B127" s="42" t="s">
        <v>124</v>
      </c>
      <c r="C127" s="41">
        <f>53*3*2</f>
        <v>318</v>
      </c>
      <c r="D127" s="43">
        <f>(2*0.58+2*0.83+2*0.25)/3.281</f>
        <v>1.0118866199329473</v>
      </c>
      <c r="E127" s="43"/>
      <c r="F127" s="43">
        <v>0.39</v>
      </c>
      <c r="G127" s="44">
        <f t="shared" ref="G127" si="18">TRUNC(C127*D127*F127,2)</f>
        <v>125.49</v>
      </c>
      <c r="H127" s="45"/>
      <c r="I127" s="45"/>
    </row>
    <row r="128" spans="1:9">
      <c r="A128" s="41"/>
      <c r="B128" s="81"/>
      <c r="C128" s="41"/>
      <c r="D128" s="43"/>
      <c r="E128" s="43"/>
      <c r="F128" s="43"/>
      <c r="G128" s="40"/>
      <c r="H128" s="45"/>
      <c r="I128" s="45"/>
    </row>
    <row r="129" spans="1:9">
      <c r="A129" s="41"/>
      <c r="B129" s="81" t="s">
        <v>64</v>
      </c>
      <c r="C129" s="41"/>
      <c r="D129" s="43"/>
      <c r="E129" s="43"/>
      <c r="F129" s="43"/>
      <c r="G129" s="40">
        <f>SUM(G126:G128)</f>
        <v>286.5</v>
      </c>
      <c r="H129" s="45"/>
      <c r="I129" s="45"/>
    </row>
    <row r="130" spans="1:9">
      <c r="A130" s="41"/>
      <c r="B130" s="81"/>
      <c r="C130" s="41"/>
      <c r="D130" s="43"/>
      <c r="E130" s="43"/>
      <c r="F130" s="43"/>
      <c r="G130" s="40"/>
      <c r="H130" s="45"/>
      <c r="I130" s="45"/>
    </row>
    <row r="131" spans="1:9">
      <c r="A131" s="41"/>
      <c r="B131" s="75" t="s">
        <v>24</v>
      </c>
      <c r="C131" s="41"/>
      <c r="D131" s="43"/>
      <c r="E131" s="43"/>
      <c r="F131" s="43"/>
      <c r="G131" s="44"/>
      <c r="H131" s="45"/>
      <c r="I131" s="45"/>
    </row>
    <row r="132" spans="1:9">
      <c r="A132" s="41"/>
      <c r="B132" s="84" t="s">
        <v>59</v>
      </c>
      <c r="C132" s="41"/>
      <c r="D132" s="43"/>
      <c r="E132" s="43"/>
      <c r="F132" s="43"/>
      <c r="G132" s="44"/>
      <c r="H132" s="45"/>
      <c r="I132" s="45"/>
    </row>
    <row r="133" spans="1:9">
      <c r="A133" s="41"/>
      <c r="B133" s="42" t="s">
        <v>128</v>
      </c>
      <c r="C133" s="41">
        <f>9*4</f>
        <v>36</v>
      </c>
      <c r="D133" s="43">
        <f>(2+4.33+9)/3.281</f>
        <v>4.6723559890277349</v>
      </c>
      <c r="E133" s="43"/>
      <c r="F133" s="43">
        <v>1.58</v>
      </c>
      <c r="G133" s="44">
        <f t="shared" ref="G133" si="19">TRUNC(C133*D133*F133,2)</f>
        <v>265.76</v>
      </c>
      <c r="H133" s="45"/>
      <c r="I133" s="45"/>
    </row>
    <row r="134" spans="1:9" s="19" customFormat="1">
      <c r="A134" s="41"/>
      <c r="B134" s="42" t="s">
        <v>58</v>
      </c>
      <c r="C134" s="41"/>
      <c r="D134" s="43"/>
      <c r="E134" s="43"/>
      <c r="F134" s="43"/>
      <c r="G134" s="44"/>
      <c r="H134" s="45"/>
      <c r="I134" s="45"/>
    </row>
    <row r="135" spans="1:9">
      <c r="A135" s="41"/>
      <c r="B135" s="42" t="s">
        <v>128</v>
      </c>
      <c r="C135" s="41">
        <f>9*4</f>
        <v>36</v>
      </c>
      <c r="D135" s="43">
        <f>D133</f>
        <v>4.6723559890277349</v>
      </c>
      <c r="E135" s="43"/>
      <c r="F135" s="43">
        <v>0.89</v>
      </c>
      <c r="G135" s="44">
        <f>F135*D135*C135</f>
        <v>149.70228588844864</v>
      </c>
      <c r="H135" s="45"/>
      <c r="I135" s="45"/>
    </row>
    <row r="136" spans="1:9">
      <c r="A136" s="41"/>
      <c r="B136" s="81" t="s">
        <v>73</v>
      </c>
      <c r="C136" s="41"/>
      <c r="D136" s="43"/>
      <c r="E136" s="43"/>
      <c r="F136" s="43"/>
      <c r="G136" s="40">
        <f>SUM(G133:G135)</f>
        <v>415.4622858884486</v>
      </c>
      <c r="H136" s="45"/>
      <c r="I136" s="45"/>
    </row>
    <row r="137" spans="1:9" s="19" customFormat="1">
      <c r="A137" s="41"/>
      <c r="B137" s="81"/>
      <c r="C137" s="41"/>
      <c r="D137" s="43"/>
      <c r="E137" s="43"/>
      <c r="F137" s="43"/>
      <c r="G137" s="40"/>
      <c r="H137" s="45"/>
      <c r="I137" s="45"/>
    </row>
    <row r="138" spans="1:9">
      <c r="A138" s="41"/>
      <c r="B138" s="84" t="s">
        <v>67</v>
      </c>
      <c r="C138" s="41"/>
      <c r="D138" s="43"/>
      <c r="E138" s="43"/>
      <c r="F138" s="43"/>
      <c r="G138" s="44"/>
      <c r="H138" s="85"/>
      <c r="I138" s="85"/>
    </row>
    <row r="139" spans="1:9">
      <c r="A139" s="41"/>
      <c r="B139" s="42" t="s">
        <v>39</v>
      </c>
      <c r="C139" s="41"/>
      <c r="D139" s="43"/>
      <c r="E139" s="43"/>
      <c r="F139" s="43"/>
      <c r="G139" s="44"/>
      <c r="H139" s="85"/>
      <c r="I139" s="85"/>
    </row>
    <row r="140" spans="1:9">
      <c r="A140" s="41"/>
      <c r="B140" s="42" t="s">
        <v>60</v>
      </c>
      <c r="C140" s="41">
        <f>(D133*3.28*12*9)/4</f>
        <v>413.78384638829618</v>
      </c>
      <c r="D140" s="43">
        <v>1.23</v>
      </c>
      <c r="E140" s="43"/>
      <c r="F140" s="43">
        <v>0.39</v>
      </c>
      <c r="G140" s="44">
        <f t="shared" ref="G140:G141" si="20">TRUNC(C140*D140*F140,2)</f>
        <v>198.49</v>
      </c>
      <c r="H140" s="85"/>
      <c r="I140" s="85" t="s">
        <v>108</v>
      </c>
    </row>
    <row r="141" spans="1:9">
      <c r="A141" s="41"/>
      <c r="B141" s="42"/>
      <c r="C141" s="41">
        <f>C140</f>
        <v>413.78384638829618</v>
      </c>
      <c r="D141" s="43">
        <v>0.91</v>
      </c>
      <c r="E141" s="43"/>
      <c r="F141" s="43">
        <v>0.39</v>
      </c>
      <c r="G141" s="44">
        <f t="shared" si="20"/>
        <v>146.85</v>
      </c>
      <c r="H141" s="85"/>
      <c r="I141" s="85" t="s">
        <v>109</v>
      </c>
    </row>
    <row r="142" spans="1:9" s="39" customFormat="1">
      <c r="A142" s="34"/>
      <c r="B142" s="35"/>
      <c r="C142" s="34"/>
      <c r="D142" s="36"/>
      <c r="E142" s="36"/>
      <c r="F142" s="36"/>
      <c r="G142" s="37"/>
      <c r="H142" s="38"/>
      <c r="I142" s="38"/>
    </row>
    <row r="143" spans="1:9">
      <c r="A143" s="41"/>
      <c r="B143" s="81" t="s">
        <v>65</v>
      </c>
      <c r="C143" s="41"/>
      <c r="D143" s="43"/>
      <c r="E143" s="43"/>
      <c r="F143" s="43"/>
      <c r="G143" s="40">
        <f>SUM(G136:G141)</f>
        <v>760.80228588844864</v>
      </c>
      <c r="H143" s="85"/>
      <c r="I143" s="85"/>
    </row>
    <row r="144" spans="1:9">
      <c r="A144" s="41"/>
      <c r="B144" s="42"/>
      <c r="C144" s="41"/>
      <c r="D144" s="43"/>
      <c r="E144" s="43"/>
      <c r="F144" s="43"/>
      <c r="G144" s="44"/>
      <c r="H144" s="85"/>
      <c r="I144" s="85"/>
    </row>
    <row r="145" spans="1:9">
      <c r="A145" s="41"/>
      <c r="B145" s="75" t="s">
        <v>61</v>
      </c>
      <c r="C145" s="41"/>
      <c r="D145" s="43"/>
      <c r="E145" s="43"/>
      <c r="F145" s="43"/>
      <c r="G145" s="44"/>
      <c r="H145" s="45"/>
      <c r="I145" s="45"/>
    </row>
    <row r="146" spans="1:9">
      <c r="A146" s="41"/>
      <c r="B146" s="84" t="s">
        <v>62</v>
      </c>
      <c r="C146" s="41"/>
      <c r="D146" s="43"/>
      <c r="E146" s="43"/>
      <c r="F146" s="43"/>
      <c r="G146" s="44"/>
      <c r="H146" s="45"/>
      <c r="I146" s="45"/>
    </row>
    <row r="147" spans="1:9">
      <c r="A147" s="41"/>
      <c r="B147" s="84" t="s">
        <v>59</v>
      </c>
      <c r="C147" s="41"/>
      <c r="D147" s="43"/>
      <c r="E147" s="43"/>
      <c r="F147" s="43"/>
      <c r="G147" s="44"/>
      <c r="H147" s="45"/>
      <c r="I147" s="45"/>
    </row>
    <row r="148" spans="1:9">
      <c r="A148" s="41"/>
      <c r="B148" s="42" t="str">
        <f>B126</f>
        <v>Grid A,B &amp; C</v>
      </c>
      <c r="C148" s="41">
        <f>3*4</f>
        <v>12</v>
      </c>
      <c r="D148" s="33">
        <f>D115</f>
        <v>11.400731484303567</v>
      </c>
      <c r="E148" s="43"/>
      <c r="F148" s="43">
        <v>1.58</v>
      </c>
      <c r="G148" s="44">
        <f>TRUNC(C148*D148*F148,2)</f>
        <v>216.15</v>
      </c>
      <c r="H148" s="45"/>
      <c r="I148" s="45"/>
    </row>
    <row r="149" spans="1:9">
      <c r="A149" s="41"/>
      <c r="B149" s="42" t="str">
        <f>B127</f>
        <v>Grid 1,2 &amp; 3</v>
      </c>
      <c r="C149" s="41">
        <f>3*4</f>
        <v>12</v>
      </c>
      <c r="D149" s="33">
        <f>D116</f>
        <v>9.6482170070100572</v>
      </c>
      <c r="E149" s="43"/>
      <c r="F149" s="43">
        <v>1.58</v>
      </c>
      <c r="G149" s="44">
        <f t="shared" ref="G149" si="21">TRUNC(C149*D149*F149,2)</f>
        <v>182.93</v>
      </c>
      <c r="H149" s="45"/>
      <c r="I149" s="45"/>
    </row>
    <row r="150" spans="1:9">
      <c r="A150" s="73"/>
      <c r="B150" s="86" t="s">
        <v>58</v>
      </c>
      <c r="C150" s="87"/>
      <c r="D150" s="87"/>
      <c r="E150" s="87"/>
      <c r="F150" s="87"/>
      <c r="G150" s="87"/>
      <c r="H150" s="87"/>
      <c r="I150" s="87"/>
    </row>
    <row r="151" spans="1:9" s="19" customFormat="1">
      <c r="A151" s="73"/>
      <c r="B151" s="88" t="str">
        <f>B148</f>
        <v>Grid A,B &amp; C</v>
      </c>
      <c r="C151" s="41">
        <v>6</v>
      </c>
      <c r="D151" s="89">
        <f>D148</f>
        <v>11.400731484303567</v>
      </c>
      <c r="E151" s="87"/>
      <c r="F151" s="87">
        <v>0.89</v>
      </c>
      <c r="G151" s="90">
        <f>F151*D151*C151</f>
        <v>60.879906126181055</v>
      </c>
      <c r="H151" s="87"/>
      <c r="I151" s="87"/>
    </row>
    <row r="152" spans="1:9" s="19" customFormat="1">
      <c r="A152" s="73"/>
      <c r="B152" s="88" t="str">
        <f>B149</f>
        <v>Grid 1,2 &amp; 3</v>
      </c>
      <c r="C152" s="41">
        <v>6</v>
      </c>
      <c r="D152" s="89">
        <f>D149</f>
        <v>9.6482170070100572</v>
      </c>
      <c r="E152" s="87"/>
      <c r="F152" s="87">
        <v>0.89</v>
      </c>
      <c r="G152" s="90">
        <f>F152*D152*C152</f>
        <v>51.52147881743371</v>
      </c>
      <c r="H152" s="87"/>
      <c r="I152" s="87"/>
    </row>
    <row r="153" spans="1:9">
      <c r="A153" s="91"/>
      <c r="B153" s="81" t="s">
        <v>71</v>
      </c>
      <c r="C153" s="41"/>
      <c r="D153" s="43"/>
      <c r="E153" s="43"/>
      <c r="F153" s="43"/>
      <c r="G153" s="40">
        <f>SUM(G148:G152)</f>
        <v>511.48138494361478</v>
      </c>
      <c r="H153" s="45"/>
      <c r="I153" s="85"/>
    </row>
    <row r="154" spans="1:9">
      <c r="A154" s="41"/>
      <c r="B154" s="81" t="s">
        <v>70</v>
      </c>
      <c r="C154" s="41"/>
      <c r="D154" s="43"/>
      <c r="E154" s="43"/>
      <c r="F154" s="43"/>
      <c r="G154" s="40">
        <f>TRUNC(G153*0.1,2)</f>
        <v>51.14</v>
      </c>
      <c r="H154" s="45"/>
      <c r="I154" s="85"/>
    </row>
    <row r="155" spans="1:9">
      <c r="A155" s="41"/>
      <c r="B155" s="81"/>
      <c r="C155" s="41"/>
      <c r="D155" s="43"/>
      <c r="E155" s="43"/>
      <c r="F155" s="43"/>
      <c r="G155" s="40"/>
      <c r="H155" s="45"/>
      <c r="I155" s="85"/>
    </row>
    <row r="156" spans="1:9">
      <c r="A156" s="41"/>
      <c r="B156" s="84" t="s">
        <v>67</v>
      </c>
      <c r="C156" s="41"/>
      <c r="D156" s="43"/>
      <c r="E156" s="43"/>
      <c r="F156" s="43"/>
      <c r="G156" s="40"/>
      <c r="H156" s="45"/>
      <c r="I156" s="85"/>
    </row>
    <row r="157" spans="1:9">
      <c r="A157" s="41"/>
      <c r="B157" s="42" t="s">
        <v>39</v>
      </c>
      <c r="C157" s="41"/>
      <c r="D157" s="43"/>
      <c r="E157" s="43"/>
      <c r="F157" s="43"/>
      <c r="G157" s="40"/>
      <c r="H157" s="45"/>
      <c r="I157" s="85"/>
    </row>
    <row r="158" spans="1:9">
      <c r="A158" s="41"/>
      <c r="B158" s="81" t="s">
        <v>74</v>
      </c>
      <c r="C158" s="41"/>
      <c r="D158" s="43"/>
      <c r="E158" s="43"/>
      <c r="F158" s="43"/>
      <c r="G158" s="40"/>
      <c r="H158" s="45"/>
      <c r="I158" s="85"/>
    </row>
    <row r="159" spans="1:9">
      <c r="A159" s="41"/>
      <c r="B159" s="42" t="str">
        <f>B148</f>
        <v>Grid A,B &amp; C</v>
      </c>
      <c r="C159" s="41">
        <f>C126</f>
        <v>408</v>
      </c>
      <c r="D159" s="43">
        <f>D126</f>
        <v>1.0118866199329473</v>
      </c>
      <c r="E159" s="43"/>
      <c r="F159" s="43">
        <v>0.39</v>
      </c>
      <c r="G159" s="44">
        <f>TRUNC(C159*D159*F159,2)</f>
        <v>161.01</v>
      </c>
      <c r="H159" s="45"/>
      <c r="I159" s="85"/>
    </row>
    <row r="160" spans="1:9">
      <c r="A160" s="41"/>
      <c r="B160" s="42" t="str">
        <f>B127</f>
        <v>Grid 1,2 &amp; 3</v>
      </c>
      <c r="C160" s="41">
        <f>C127</f>
        <v>318</v>
      </c>
      <c r="D160" s="43">
        <f>D159</f>
        <v>1.0118866199329473</v>
      </c>
      <c r="E160" s="43"/>
      <c r="F160" s="43">
        <v>0.39</v>
      </c>
      <c r="G160" s="44">
        <f t="shared" ref="G160" si="22">TRUNC(C160*D160*F160,2)</f>
        <v>125.49</v>
      </c>
      <c r="H160" s="45"/>
      <c r="I160" s="85"/>
    </row>
    <row r="161" spans="1:9">
      <c r="A161" s="73"/>
      <c r="B161" s="46"/>
      <c r="C161" s="46"/>
      <c r="D161" s="46"/>
      <c r="E161" s="46"/>
      <c r="F161" s="46"/>
      <c r="G161" s="46"/>
      <c r="H161" s="46"/>
      <c r="I161" s="46"/>
    </row>
    <row r="162" spans="1:9">
      <c r="A162" s="41"/>
      <c r="B162" s="81" t="s">
        <v>66</v>
      </c>
      <c r="C162" s="41"/>
      <c r="D162" s="43"/>
      <c r="E162" s="43"/>
      <c r="F162" s="43"/>
      <c r="G162" s="40">
        <f>SUM(G153:G160)</f>
        <v>849.12138494361477</v>
      </c>
      <c r="H162" s="45"/>
      <c r="I162" s="85"/>
    </row>
    <row r="163" spans="1:9">
      <c r="A163" s="41"/>
      <c r="B163" s="81"/>
      <c r="C163" s="41"/>
      <c r="D163" s="43"/>
      <c r="E163" s="43"/>
      <c r="F163" s="43"/>
      <c r="G163" s="40"/>
      <c r="H163" s="45"/>
      <c r="I163" s="85"/>
    </row>
    <row r="164" spans="1:9">
      <c r="A164" s="41"/>
      <c r="B164" s="81"/>
      <c r="C164" s="41"/>
      <c r="D164" s="43"/>
      <c r="E164" s="43"/>
      <c r="F164" s="43"/>
      <c r="G164" s="40"/>
      <c r="H164" s="45"/>
      <c r="I164" s="85"/>
    </row>
    <row r="165" spans="1:9">
      <c r="A165" s="41"/>
      <c r="B165" s="81"/>
      <c r="C165" s="41"/>
      <c r="D165" s="43"/>
      <c r="E165" s="43"/>
      <c r="F165" s="43"/>
      <c r="G165" s="40"/>
      <c r="H165" s="45"/>
      <c r="I165" s="85"/>
    </row>
    <row r="166" spans="1:9" s="19" customFormat="1">
      <c r="A166" s="91"/>
      <c r="B166" s="84"/>
      <c r="C166" s="92"/>
      <c r="D166" s="43"/>
      <c r="E166" s="43"/>
      <c r="F166" s="43"/>
      <c r="G166" s="44"/>
      <c r="H166" s="45"/>
      <c r="I166" s="85"/>
    </row>
    <row r="167" spans="1:9">
      <c r="A167" s="41"/>
      <c r="B167" s="75" t="s">
        <v>56</v>
      </c>
      <c r="C167" s="41"/>
      <c r="D167" s="33"/>
      <c r="E167" s="33"/>
      <c r="F167" s="33"/>
      <c r="G167" s="56"/>
      <c r="H167" s="45"/>
      <c r="I167" s="85"/>
    </row>
    <row r="168" spans="1:9">
      <c r="A168" s="41"/>
      <c r="B168" s="81" t="s">
        <v>57</v>
      </c>
      <c r="C168" s="41"/>
      <c r="D168" s="33"/>
      <c r="E168" s="33"/>
      <c r="F168" s="33"/>
      <c r="G168" s="56"/>
      <c r="H168" s="45"/>
      <c r="I168" s="85"/>
    </row>
    <row r="169" spans="1:9">
      <c r="A169" s="41"/>
      <c r="B169" s="81" t="s">
        <v>81</v>
      </c>
      <c r="C169" s="41"/>
      <c r="D169" s="43"/>
      <c r="E169" s="33"/>
      <c r="F169" s="33"/>
      <c r="G169" s="56"/>
      <c r="H169" s="45"/>
      <c r="I169" s="85"/>
    </row>
    <row r="170" spans="1:9">
      <c r="A170" s="41"/>
      <c r="B170" s="42" t="s">
        <v>131</v>
      </c>
      <c r="C170" s="41">
        <v>4</v>
      </c>
      <c r="D170" s="33">
        <f>18.83/3.281</f>
        <v>5.7391039317281312</v>
      </c>
      <c r="E170" s="33"/>
      <c r="F170" s="33">
        <v>0.39</v>
      </c>
      <c r="G170" s="44">
        <f t="shared" ref="G170:G171" si="23">TRUNC(C170*D170*F170,2)</f>
        <v>8.9499999999999993</v>
      </c>
      <c r="H170" s="45"/>
      <c r="I170" s="85"/>
    </row>
    <row r="171" spans="1:9">
      <c r="A171" s="41"/>
      <c r="B171" s="42" t="s">
        <v>139</v>
      </c>
      <c r="C171" s="41">
        <v>4</v>
      </c>
      <c r="D171" s="33">
        <f>25.83/3.281</f>
        <v>7.8725998171289229</v>
      </c>
      <c r="E171" s="33"/>
      <c r="F171" s="33">
        <v>0.39</v>
      </c>
      <c r="G171" s="44">
        <f t="shared" si="23"/>
        <v>12.28</v>
      </c>
      <c r="H171" s="45"/>
      <c r="I171" s="85"/>
    </row>
    <row r="172" spans="1:9">
      <c r="A172" s="41"/>
      <c r="B172" s="42"/>
      <c r="C172" s="41"/>
      <c r="D172" s="43"/>
      <c r="E172" s="33"/>
      <c r="F172" s="33"/>
      <c r="G172" s="44"/>
      <c r="H172" s="45"/>
      <c r="I172" s="85"/>
    </row>
    <row r="173" spans="1:9">
      <c r="A173" s="41"/>
      <c r="B173" s="42" t="s">
        <v>35</v>
      </c>
      <c r="C173" s="41"/>
      <c r="D173" s="43"/>
      <c r="E173" s="33"/>
      <c r="F173" s="33"/>
      <c r="G173" s="44"/>
      <c r="H173" s="45"/>
      <c r="I173" s="85"/>
    </row>
    <row r="174" spans="1:9">
      <c r="A174" s="41"/>
      <c r="B174" s="70" t="s">
        <v>140</v>
      </c>
      <c r="C174" s="41">
        <v>-2</v>
      </c>
      <c r="D174" s="43">
        <f>4/3.281</f>
        <v>1.2191405059433098</v>
      </c>
      <c r="E174" s="33"/>
      <c r="F174" s="33">
        <v>0.39</v>
      </c>
      <c r="G174" s="44">
        <f t="shared" ref="G174" si="24">TRUNC(C174*D174*F174,2)</f>
        <v>-0.95</v>
      </c>
      <c r="H174" s="45"/>
      <c r="I174" s="85"/>
    </row>
    <row r="175" spans="1:9">
      <c r="A175" s="41"/>
      <c r="B175" s="42"/>
      <c r="C175" s="41"/>
      <c r="D175" s="43"/>
      <c r="E175" s="33"/>
      <c r="F175" s="33"/>
      <c r="G175" s="44"/>
      <c r="H175" s="45"/>
      <c r="I175" s="85"/>
    </row>
    <row r="176" spans="1:9">
      <c r="A176" s="41"/>
      <c r="B176" s="42"/>
      <c r="C176" s="41"/>
      <c r="D176" s="33"/>
      <c r="E176" s="33"/>
      <c r="F176" s="33"/>
      <c r="G176" s="56"/>
      <c r="H176" s="45"/>
      <c r="I176" s="85"/>
    </row>
    <row r="177" spans="1:9">
      <c r="A177" s="41"/>
      <c r="B177" s="81" t="s">
        <v>104</v>
      </c>
      <c r="C177" s="41"/>
      <c r="D177" s="33"/>
      <c r="E177" s="33"/>
      <c r="F177" s="33"/>
      <c r="G177" s="56"/>
      <c r="H177" s="45"/>
      <c r="I177" s="85"/>
    </row>
    <row r="178" spans="1:9">
      <c r="A178" s="41"/>
      <c r="B178" s="81" t="s">
        <v>81</v>
      </c>
      <c r="C178" s="41"/>
      <c r="D178" s="43"/>
      <c r="E178" s="33"/>
      <c r="F178" s="33"/>
      <c r="G178" s="44"/>
      <c r="H178" s="45"/>
      <c r="I178" s="85"/>
    </row>
    <row r="179" spans="1:9" s="19" customFormat="1">
      <c r="A179" s="41"/>
      <c r="B179" s="42" t="str">
        <f>B170</f>
        <v>Grid 1 &amp;3</v>
      </c>
      <c r="C179" s="41">
        <v>8</v>
      </c>
      <c r="D179" s="33">
        <f>D170</f>
        <v>5.7391039317281312</v>
      </c>
      <c r="E179" s="33"/>
      <c r="F179" s="33">
        <v>0.39</v>
      </c>
      <c r="G179" s="44">
        <f t="shared" ref="G179:G180" si="25">TRUNC(C179*D179*F179,2)</f>
        <v>17.899999999999999</v>
      </c>
      <c r="H179" s="45"/>
      <c r="I179" s="85"/>
    </row>
    <row r="180" spans="1:9" s="19" customFormat="1">
      <c r="A180" s="41"/>
      <c r="B180" s="42" t="str">
        <f>B171</f>
        <v>Grid A &amp; B</v>
      </c>
      <c r="C180" s="41">
        <v>8</v>
      </c>
      <c r="D180" s="33">
        <f>D171</f>
        <v>7.8725998171289229</v>
      </c>
      <c r="E180" s="33"/>
      <c r="F180" s="33">
        <v>0.39</v>
      </c>
      <c r="G180" s="44">
        <f t="shared" si="25"/>
        <v>24.56</v>
      </c>
      <c r="H180" s="45"/>
      <c r="I180" s="85"/>
    </row>
    <row r="181" spans="1:9">
      <c r="A181" s="41"/>
      <c r="B181" s="42"/>
      <c r="C181" s="41"/>
      <c r="D181" s="43"/>
      <c r="E181" s="43"/>
      <c r="F181" s="43"/>
      <c r="G181" s="44"/>
      <c r="H181" s="45"/>
      <c r="I181" s="45"/>
    </row>
    <row r="182" spans="1:9">
      <c r="A182" s="41"/>
      <c r="B182" s="81" t="s">
        <v>76</v>
      </c>
      <c r="C182" s="41"/>
      <c r="D182" s="43"/>
      <c r="E182" s="43"/>
      <c r="F182" s="43"/>
      <c r="G182" s="40">
        <f>SUM(G170:G180)</f>
        <v>62.739999999999995</v>
      </c>
      <c r="H182" s="45"/>
      <c r="I182" s="45"/>
    </row>
    <row r="183" spans="1:9">
      <c r="A183" s="41"/>
      <c r="B183" s="81" t="s">
        <v>70</v>
      </c>
      <c r="C183" s="41"/>
      <c r="D183" s="43"/>
      <c r="E183" s="43"/>
      <c r="F183" s="43"/>
      <c r="G183" s="40">
        <f>TRUNC(G182*0.1,2)</f>
        <v>6.27</v>
      </c>
      <c r="H183" s="45"/>
      <c r="I183" s="45"/>
    </row>
    <row r="184" spans="1:9" s="19" customFormat="1">
      <c r="A184" s="41"/>
      <c r="B184" s="81"/>
      <c r="C184" s="41"/>
      <c r="D184" s="43"/>
      <c r="E184" s="43"/>
      <c r="F184" s="43"/>
      <c r="G184" s="40"/>
      <c r="H184" s="45"/>
      <c r="I184" s="45"/>
    </row>
    <row r="185" spans="1:9">
      <c r="A185" s="41"/>
      <c r="B185" s="84" t="s">
        <v>75</v>
      </c>
      <c r="C185" s="41"/>
      <c r="D185" s="43"/>
      <c r="E185" s="43"/>
      <c r="F185" s="43"/>
      <c r="G185" s="44"/>
      <c r="H185" s="45"/>
      <c r="I185" s="45"/>
    </row>
    <row r="186" spans="1:9">
      <c r="A186" s="41"/>
      <c r="B186" s="42" t="s">
        <v>39</v>
      </c>
      <c r="C186" s="41"/>
      <c r="D186" s="43"/>
      <c r="E186" s="43"/>
      <c r="F186" s="43"/>
      <c r="G186" s="44"/>
      <c r="H186" s="45"/>
      <c r="I186" s="45"/>
    </row>
    <row r="187" spans="1:9">
      <c r="A187" s="41"/>
      <c r="B187" s="81" t="s">
        <v>57</v>
      </c>
      <c r="C187" s="41"/>
      <c r="D187" s="33"/>
      <c r="E187" s="33"/>
      <c r="F187" s="33"/>
      <c r="G187" s="56"/>
      <c r="H187" s="45"/>
      <c r="I187" s="45"/>
    </row>
    <row r="188" spans="1:9">
      <c r="A188" s="41"/>
      <c r="B188" s="81" t="s">
        <v>81</v>
      </c>
      <c r="C188" s="41"/>
      <c r="D188" s="33"/>
      <c r="E188" s="33"/>
      <c r="F188" s="33"/>
      <c r="G188" s="56"/>
      <c r="H188" s="45"/>
      <c r="I188" s="45"/>
    </row>
    <row r="189" spans="1:9">
      <c r="A189" s="41"/>
      <c r="B189" s="42" t="str">
        <f>B179</f>
        <v>Grid 1 &amp;3</v>
      </c>
      <c r="C189" s="41">
        <v>76</v>
      </c>
      <c r="D189" s="33">
        <v>0.23</v>
      </c>
      <c r="E189" s="33"/>
      <c r="F189" s="33">
        <v>0.22</v>
      </c>
      <c r="G189" s="44">
        <f t="shared" ref="G189" si="26">TRUNC(C189*D189*F189,2)</f>
        <v>3.84</v>
      </c>
      <c r="H189" s="45"/>
      <c r="I189" s="45"/>
    </row>
    <row r="190" spans="1:9">
      <c r="A190" s="41"/>
      <c r="B190" s="42" t="str">
        <f>B180</f>
        <v>Grid A &amp; B</v>
      </c>
      <c r="C190" s="41">
        <v>104</v>
      </c>
      <c r="D190" s="33">
        <v>0.23</v>
      </c>
      <c r="E190" s="33"/>
      <c r="F190" s="33">
        <v>0.22</v>
      </c>
      <c r="G190" s="44">
        <f t="shared" ref="G190:G192" si="27">TRUNC(C190*D190*F190,2)</f>
        <v>5.26</v>
      </c>
      <c r="H190" s="45"/>
      <c r="I190" s="45"/>
    </row>
    <row r="191" spans="1:9">
      <c r="A191" s="41"/>
      <c r="B191" s="42" t="s">
        <v>35</v>
      </c>
      <c r="C191" s="41"/>
      <c r="D191" s="33"/>
      <c r="E191" s="33"/>
      <c r="F191" s="33"/>
      <c r="G191" s="44"/>
      <c r="H191" s="45"/>
      <c r="I191" s="45"/>
    </row>
    <row r="192" spans="1:9">
      <c r="A192" s="41"/>
      <c r="B192" s="70" t="str">
        <f>B174</f>
        <v>Channel Gate(CG)</v>
      </c>
      <c r="C192" s="41">
        <v>-2</v>
      </c>
      <c r="D192" s="33">
        <v>0.23</v>
      </c>
      <c r="E192" s="33"/>
      <c r="F192" s="33">
        <v>0.22</v>
      </c>
      <c r="G192" s="44">
        <f t="shared" si="27"/>
        <v>-0.1</v>
      </c>
      <c r="H192" s="45"/>
      <c r="I192" s="45"/>
    </row>
    <row r="193" spans="1:9">
      <c r="A193" s="41"/>
      <c r="B193" s="42"/>
      <c r="C193" s="41"/>
      <c r="D193" s="33"/>
      <c r="E193" s="33"/>
      <c r="F193" s="33"/>
      <c r="G193" s="44"/>
      <c r="H193" s="45"/>
      <c r="I193" s="45"/>
    </row>
    <row r="194" spans="1:9">
      <c r="A194" s="41"/>
      <c r="B194" s="42"/>
      <c r="C194" s="41"/>
      <c r="D194" s="33"/>
      <c r="E194" s="33"/>
      <c r="F194" s="33"/>
      <c r="G194" s="56"/>
      <c r="H194" s="45"/>
      <c r="I194" s="45"/>
    </row>
    <row r="195" spans="1:9">
      <c r="A195" s="41"/>
      <c r="B195" s="81" t="s">
        <v>104</v>
      </c>
      <c r="C195" s="87"/>
      <c r="D195" s="87"/>
      <c r="E195" s="87"/>
      <c r="F195" s="87"/>
      <c r="G195" s="87"/>
      <c r="H195" s="45"/>
      <c r="I195" s="45"/>
    </row>
    <row r="196" spans="1:9">
      <c r="A196" s="41"/>
      <c r="B196" s="81" t="s">
        <v>81</v>
      </c>
      <c r="C196" s="87"/>
      <c r="D196" s="87"/>
      <c r="E196" s="87"/>
      <c r="F196" s="87"/>
      <c r="G196" s="87"/>
      <c r="H196" s="45"/>
      <c r="I196" s="45"/>
    </row>
    <row r="197" spans="1:9" s="19" customFormat="1">
      <c r="A197" s="41"/>
      <c r="B197" s="42" t="str">
        <f>B189</f>
        <v>Grid 1 &amp;3</v>
      </c>
      <c r="C197" s="41">
        <f>C189</f>
        <v>76</v>
      </c>
      <c r="D197" s="33">
        <f>D189*2</f>
        <v>0.46</v>
      </c>
      <c r="E197" s="33"/>
      <c r="F197" s="33">
        <v>0.22</v>
      </c>
      <c r="G197" s="44">
        <f t="shared" ref="G197:G198" si="28">TRUNC(C197*D197*F197,2)</f>
        <v>7.69</v>
      </c>
      <c r="H197" s="45"/>
      <c r="I197" s="45"/>
    </row>
    <row r="198" spans="1:9" s="19" customFormat="1">
      <c r="A198" s="41"/>
      <c r="B198" s="42" t="str">
        <f>B190</f>
        <v>Grid A &amp; B</v>
      </c>
      <c r="C198" s="41">
        <f>C190</f>
        <v>104</v>
      </c>
      <c r="D198" s="33">
        <f>D190*2</f>
        <v>0.46</v>
      </c>
      <c r="E198" s="33"/>
      <c r="F198" s="33">
        <v>0.22</v>
      </c>
      <c r="G198" s="44">
        <f t="shared" si="28"/>
        <v>10.52</v>
      </c>
      <c r="H198" s="45"/>
      <c r="I198" s="45"/>
    </row>
    <row r="199" spans="1:9">
      <c r="A199" s="41"/>
      <c r="B199" s="42"/>
      <c r="C199" s="41"/>
      <c r="D199" s="33"/>
      <c r="E199" s="33"/>
      <c r="F199" s="33"/>
      <c r="G199" s="44"/>
      <c r="H199" s="45"/>
      <c r="I199" s="45"/>
    </row>
    <row r="200" spans="1:9">
      <c r="A200" s="41"/>
      <c r="B200" s="42"/>
      <c r="C200" s="41"/>
      <c r="D200" s="43"/>
      <c r="E200" s="43"/>
      <c r="F200" s="43"/>
      <c r="G200" s="44"/>
      <c r="H200" s="45"/>
      <c r="I200" s="45"/>
    </row>
    <row r="201" spans="1:9">
      <c r="A201" s="41"/>
      <c r="B201" s="81" t="s">
        <v>69</v>
      </c>
      <c r="C201" s="41"/>
      <c r="D201" s="43"/>
      <c r="E201" s="43"/>
      <c r="F201" s="43"/>
      <c r="G201" s="40">
        <f>SUM(G182:G198)</f>
        <v>96.22</v>
      </c>
      <c r="H201" s="45"/>
      <c r="I201" s="45"/>
    </row>
    <row r="202" spans="1:9" s="19" customFormat="1">
      <c r="A202" s="41"/>
      <c r="B202" s="81"/>
      <c r="C202" s="41"/>
      <c r="D202" s="43"/>
      <c r="E202" s="43"/>
      <c r="F202" s="43"/>
      <c r="G202" s="40"/>
      <c r="H202" s="45"/>
      <c r="I202" s="45"/>
    </row>
    <row r="203" spans="1:9" s="19" customFormat="1">
      <c r="A203" s="41"/>
      <c r="B203" s="81"/>
      <c r="C203" s="41"/>
      <c r="D203" s="43"/>
      <c r="E203" s="43"/>
      <c r="F203" s="43"/>
      <c r="G203" s="40"/>
      <c r="H203" s="45"/>
      <c r="I203" s="45"/>
    </row>
    <row r="204" spans="1:9" ht="13.5" customHeight="1">
      <c r="A204" s="41"/>
      <c r="B204" s="42"/>
      <c r="C204" s="41"/>
      <c r="D204" s="43"/>
      <c r="E204" s="43"/>
      <c r="F204" s="43"/>
      <c r="G204" s="40">
        <f>G104+G121+G122+G129+G143+G162+G201</f>
        <v>3368.0764407192928</v>
      </c>
      <c r="H204" s="45" t="s">
        <v>38</v>
      </c>
      <c r="I204" s="85"/>
    </row>
    <row r="205" spans="1:9">
      <c r="A205" s="41"/>
      <c r="B205" s="75" t="s">
        <v>40</v>
      </c>
      <c r="C205" s="74"/>
      <c r="D205" s="78"/>
      <c r="E205" s="78"/>
      <c r="F205" s="78"/>
      <c r="G205" s="40">
        <f>G204</f>
        <v>3368.0764407192928</v>
      </c>
      <c r="H205" s="75" t="s">
        <v>38</v>
      </c>
      <c r="I205" s="45"/>
    </row>
    <row r="206" spans="1:9">
      <c r="A206" s="41"/>
      <c r="B206" s="45"/>
      <c r="C206" s="41"/>
      <c r="D206" s="43"/>
      <c r="E206" s="43"/>
      <c r="F206" s="43"/>
      <c r="G206" s="40"/>
      <c r="H206" s="45"/>
      <c r="I206" s="45"/>
    </row>
    <row r="207" spans="1:9" ht="15.75">
      <c r="A207" s="76">
        <v>8</v>
      </c>
      <c r="B207" s="77" t="s">
        <v>31</v>
      </c>
      <c r="C207" s="41"/>
      <c r="D207" s="43"/>
      <c r="E207" s="43"/>
      <c r="F207" s="43"/>
      <c r="G207" s="44"/>
      <c r="H207" s="45"/>
      <c r="I207" s="45"/>
    </row>
    <row r="208" spans="1:9">
      <c r="A208" s="41"/>
      <c r="B208" s="75" t="s">
        <v>11</v>
      </c>
      <c r="C208" s="41"/>
      <c r="D208" s="43"/>
      <c r="E208" s="43"/>
      <c r="F208" s="43"/>
      <c r="G208" s="44"/>
      <c r="H208" s="45"/>
      <c r="I208" s="45"/>
    </row>
    <row r="209" spans="1:9">
      <c r="A209" s="41"/>
      <c r="B209" s="42" t="s">
        <v>12</v>
      </c>
      <c r="C209" s="41">
        <f>9*4</f>
        <v>36</v>
      </c>
      <c r="D209" s="33">
        <v>4.5</v>
      </c>
      <c r="E209" s="33"/>
      <c r="F209" s="33">
        <v>0.5</v>
      </c>
      <c r="G209" s="56">
        <f>TRUNC(C209*D209*F209,2)</f>
        <v>81</v>
      </c>
      <c r="H209" s="45"/>
      <c r="I209" s="45"/>
    </row>
    <row r="210" spans="1:9" s="19" customFormat="1">
      <c r="A210" s="41"/>
      <c r="B210" s="75" t="s">
        <v>146</v>
      </c>
      <c r="C210" s="41"/>
      <c r="D210" s="43"/>
      <c r="E210" s="43"/>
      <c r="F210" s="43"/>
      <c r="G210" s="44"/>
      <c r="H210" s="45"/>
      <c r="I210" s="45"/>
    </row>
    <row r="211" spans="1:9" s="19" customFormat="1">
      <c r="A211" s="41"/>
      <c r="B211" s="42" t="str">
        <f>B215</f>
        <v>Grid A,B &amp; C</v>
      </c>
      <c r="C211" s="41">
        <v>6</v>
      </c>
      <c r="D211" s="43">
        <f>D75</f>
        <v>31.5</v>
      </c>
      <c r="E211" s="43"/>
      <c r="F211" s="43">
        <v>1</v>
      </c>
      <c r="G211" s="44">
        <f t="shared" ref="G211:G212" si="29">TRUNC(C211*D211*F211,2)</f>
        <v>189</v>
      </c>
      <c r="H211" s="45"/>
      <c r="I211" s="45"/>
    </row>
    <row r="212" spans="1:9" s="19" customFormat="1">
      <c r="A212" s="41"/>
      <c r="B212" s="42" t="str">
        <f>B216</f>
        <v>Grid 1,2 &amp; 3</v>
      </c>
      <c r="C212" s="41">
        <v>6</v>
      </c>
      <c r="D212" s="43">
        <v>25.75</v>
      </c>
      <c r="E212" s="43"/>
      <c r="F212" s="43">
        <v>1</v>
      </c>
      <c r="G212" s="44">
        <f t="shared" si="29"/>
        <v>154.5</v>
      </c>
      <c r="H212" s="45"/>
      <c r="I212" s="45"/>
    </row>
    <row r="213" spans="1:9">
      <c r="A213" s="41"/>
      <c r="B213" s="45"/>
      <c r="C213" s="41"/>
      <c r="D213" s="43"/>
      <c r="E213" s="43"/>
      <c r="F213" s="43"/>
      <c r="G213" s="44"/>
      <c r="H213" s="45"/>
      <c r="I213" s="45"/>
    </row>
    <row r="214" spans="1:9">
      <c r="A214" s="41"/>
      <c r="B214" s="75" t="s">
        <v>26</v>
      </c>
      <c r="C214" s="41"/>
      <c r="D214" s="43"/>
      <c r="E214" s="43"/>
      <c r="F214" s="43"/>
      <c r="G214" s="44"/>
      <c r="H214" s="45"/>
      <c r="I214" s="45"/>
    </row>
    <row r="215" spans="1:9">
      <c r="A215" s="41"/>
      <c r="B215" s="42" t="str">
        <f>B148</f>
        <v>Grid A,B &amp; C</v>
      </c>
      <c r="C215" s="41">
        <v>6</v>
      </c>
      <c r="D215" s="43">
        <f>D211</f>
        <v>31.5</v>
      </c>
      <c r="E215" s="43"/>
      <c r="F215" s="43">
        <v>1</v>
      </c>
      <c r="G215" s="44">
        <f t="shared" ref="G215:G216" si="30">TRUNC(C215*D215*F215,2)</f>
        <v>189</v>
      </c>
      <c r="H215" s="45"/>
      <c r="I215" s="45"/>
    </row>
    <row r="216" spans="1:9">
      <c r="A216" s="41"/>
      <c r="B216" s="42" t="str">
        <f>B149</f>
        <v>Grid 1,2 &amp; 3</v>
      </c>
      <c r="C216" s="41">
        <v>6</v>
      </c>
      <c r="D216" s="43">
        <f>D212</f>
        <v>25.75</v>
      </c>
      <c r="E216" s="43"/>
      <c r="F216" s="43">
        <v>1</v>
      </c>
      <c r="G216" s="44">
        <f t="shared" si="30"/>
        <v>154.5</v>
      </c>
      <c r="H216" s="45"/>
      <c r="I216" s="45"/>
    </row>
    <row r="217" spans="1:9">
      <c r="A217" s="41"/>
      <c r="B217" s="42"/>
      <c r="C217" s="41"/>
      <c r="D217" s="43"/>
      <c r="E217" s="43"/>
      <c r="F217" s="43"/>
      <c r="G217" s="44"/>
      <c r="H217" s="45"/>
      <c r="I217" s="45"/>
    </row>
    <row r="218" spans="1:9">
      <c r="A218" s="41"/>
      <c r="B218" s="75" t="s">
        <v>24</v>
      </c>
      <c r="C218" s="41"/>
      <c r="D218" s="43"/>
      <c r="E218" s="43"/>
      <c r="F218" s="43"/>
      <c r="G218" s="44"/>
      <c r="H218" s="45"/>
      <c r="I218" s="45"/>
    </row>
    <row r="219" spans="1:9">
      <c r="A219" s="41"/>
      <c r="B219" s="42" t="s">
        <v>52</v>
      </c>
      <c r="C219" s="41">
        <v>9</v>
      </c>
      <c r="D219" s="33">
        <v>4</v>
      </c>
      <c r="E219" s="33"/>
      <c r="F219" s="33">
        <v>4.83</v>
      </c>
      <c r="G219" s="44">
        <f t="shared" ref="G219:G220" si="31">TRUNC(C219*D219*F219,2)</f>
        <v>173.88</v>
      </c>
      <c r="H219" s="45"/>
      <c r="I219" s="45" t="s">
        <v>110</v>
      </c>
    </row>
    <row r="220" spans="1:9">
      <c r="A220" s="41"/>
      <c r="B220" s="42"/>
      <c r="C220" s="41">
        <v>9</v>
      </c>
      <c r="D220" s="33">
        <v>4</v>
      </c>
      <c r="E220" s="43"/>
      <c r="F220" s="43">
        <f>9-0.33</f>
        <v>8.67</v>
      </c>
      <c r="G220" s="44">
        <f t="shared" si="31"/>
        <v>312.12</v>
      </c>
      <c r="H220" s="45"/>
      <c r="I220" s="45" t="s">
        <v>111</v>
      </c>
    </row>
    <row r="221" spans="1:9" s="19" customFormat="1">
      <c r="A221" s="41"/>
      <c r="B221" s="42"/>
      <c r="C221" s="41"/>
      <c r="D221" s="33"/>
      <c r="E221" s="43"/>
      <c r="F221" s="43"/>
      <c r="G221" s="44"/>
      <c r="H221" s="45"/>
      <c r="I221" s="45"/>
    </row>
    <row r="222" spans="1:9">
      <c r="A222" s="41"/>
      <c r="B222" s="75" t="s">
        <v>61</v>
      </c>
      <c r="C222" s="41"/>
      <c r="D222" s="43"/>
      <c r="E222" s="43"/>
      <c r="F222" s="43"/>
      <c r="G222" s="44"/>
      <c r="H222" s="45"/>
      <c r="I222" s="45"/>
    </row>
    <row r="223" spans="1:9">
      <c r="A223" s="41"/>
      <c r="B223" s="84" t="s">
        <v>55</v>
      </c>
      <c r="C223" s="41"/>
      <c r="D223" s="43"/>
      <c r="E223" s="43"/>
      <c r="F223" s="43"/>
      <c r="G223" s="44"/>
      <c r="H223" s="45"/>
      <c r="I223" s="45"/>
    </row>
    <row r="224" spans="1:9">
      <c r="A224" s="41"/>
      <c r="B224" s="42" t="str">
        <f>B215</f>
        <v>Grid A,B &amp; C</v>
      </c>
      <c r="C224" s="41">
        <v>3</v>
      </c>
      <c r="D224" s="33">
        <f>D215</f>
        <v>31.5</v>
      </c>
      <c r="E224" s="43"/>
      <c r="F224" s="43">
        <f>2*1.08+0.75</f>
        <v>2.91</v>
      </c>
      <c r="G224" s="44">
        <f t="shared" ref="G224:G225" si="32">TRUNC(C224*D224*F224,2)</f>
        <v>274.99</v>
      </c>
      <c r="H224" s="45"/>
      <c r="I224" s="45"/>
    </row>
    <row r="225" spans="1:9">
      <c r="A225" s="41"/>
      <c r="B225" s="42" t="str">
        <f>B216</f>
        <v>Grid 1,2 &amp; 3</v>
      </c>
      <c r="C225" s="41">
        <v>3</v>
      </c>
      <c r="D225" s="33">
        <f>D216</f>
        <v>25.75</v>
      </c>
      <c r="E225" s="43"/>
      <c r="F225" s="43">
        <f>F224</f>
        <v>2.91</v>
      </c>
      <c r="G225" s="44">
        <f t="shared" si="32"/>
        <v>224.79</v>
      </c>
      <c r="H225" s="45"/>
      <c r="I225" s="45"/>
    </row>
    <row r="226" spans="1:9">
      <c r="A226" s="41"/>
      <c r="B226" s="42"/>
      <c r="C226" s="41"/>
      <c r="D226" s="43"/>
      <c r="E226" s="43"/>
      <c r="F226" s="43"/>
      <c r="G226" s="44"/>
      <c r="H226" s="45"/>
      <c r="I226" s="45"/>
    </row>
    <row r="227" spans="1:9" s="46" customFormat="1">
      <c r="A227" s="41"/>
      <c r="B227" s="42"/>
      <c r="C227" s="41"/>
      <c r="D227" s="43"/>
      <c r="E227" s="43"/>
      <c r="F227" s="43"/>
      <c r="G227" s="44"/>
      <c r="H227" s="45"/>
      <c r="I227" s="45"/>
    </row>
    <row r="228" spans="1:9">
      <c r="A228" s="41"/>
      <c r="B228" s="75" t="s">
        <v>56</v>
      </c>
      <c r="C228" s="41"/>
      <c r="D228" s="43"/>
      <c r="E228" s="43"/>
      <c r="F228" s="43"/>
      <c r="G228" s="44"/>
      <c r="H228" s="45"/>
      <c r="I228" s="45"/>
    </row>
    <row r="229" spans="1:9">
      <c r="A229" s="41"/>
      <c r="B229" s="81" t="s">
        <v>68</v>
      </c>
      <c r="C229" s="41"/>
      <c r="D229" s="43"/>
      <c r="E229" s="43"/>
      <c r="F229" s="43"/>
      <c r="G229" s="44"/>
      <c r="H229" s="45"/>
      <c r="I229" s="45"/>
    </row>
    <row r="230" spans="1:9">
      <c r="A230" s="41"/>
      <c r="B230" s="81" t="s">
        <v>57</v>
      </c>
      <c r="C230" s="41"/>
      <c r="D230" s="33"/>
      <c r="E230" s="33"/>
      <c r="F230" s="33"/>
      <c r="G230" s="44"/>
      <c r="H230" s="45"/>
      <c r="I230" s="45"/>
    </row>
    <row r="231" spans="1:9">
      <c r="A231" s="41"/>
      <c r="B231" s="81" t="s">
        <v>81</v>
      </c>
      <c r="C231" s="41"/>
      <c r="D231" s="43"/>
      <c r="E231" s="33"/>
      <c r="F231" s="33"/>
      <c r="G231" s="44"/>
      <c r="H231" s="45"/>
      <c r="I231" s="45"/>
    </row>
    <row r="232" spans="1:9">
      <c r="A232" s="41"/>
      <c r="B232" s="42" t="str">
        <f>B224</f>
        <v>Grid A,B &amp; C</v>
      </c>
      <c r="C232" s="41">
        <v>6</v>
      </c>
      <c r="D232" s="33">
        <f>D224</f>
        <v>31.5</v>
      </c>
      <c r="E232" s="33"/>
      <c r="F232" s="33">
        <v>0.25</v>
      </c>
      <c r="G232" s="44">
        <f t="shared" ref="G232:G236" si="33">TRUNC(C232*D232*F232,2)</f>
        <v>47.25</v>
      </c>
      <c r="H232" s="45"/>
      <c r="I232" s="45"/>
    </row>
    <row r="233" spans="1:9">
      <c r="A233" s="41"/>
      <c r="B233" s="42" t="str">
        <f>B225</f>
        <v>Grid 1,2 &amp; 3</v>
      </c>
      <c r="C233" s="41">
        <v>6</v>
      </c>
      <c r="D233" s="33">
        <f>D225</f>
        <v>25.75</v>
      </c>
      <c r="E233" s="33"/>
      <c r="F233" s="33">
        <v>0.25</v>
      </c>
      <c r="G233" s="44">
        <f t="shared" si="33"/>
        <v>38.619999999999997</v>
      </c>
      <c r="H233" s="45"/>
      <c r="I233" s="45"/>
    </row>
    <row r="234" spans="1:9">
      <c r="A234" s="41"/>
      <c r="B234" s="42"/>
      <c r="C234" s="41"/>
      <c r="D234" s="43"/>
      <c r="E234" s="33"/>
      <c r="F234" s="33"/>
      <c r="G234" s="44"/>
      <c r="H234" s="45"/>
      <c r="I234" s="45"/>
    </row>
    <row r="235" spans="1:9">
      <c r="A235" s="41"/>
      <c r="B235" s="42" t="s">
        <v>35</v>
      </c>
      <c r="C235" s="41"/>
      <c r="D235" s="43"/>
      <c r="E235" s="33"/>
      <c r="F235" s="33"/>
      <c r="G235" s="44"/>
      <c r="H235" s="45"/>
      <c r="I235" s="45"/>
    </row>
    <row r="236" spans="1:9">
      <c r="A236" s="41"/>
      <c r="B236" s="70" t="s">
        <v>140</v>
      </c>
      <c r="C236" s="41">
        <v>-2</v>
      </c>
      <c r="D236" s="43">
        <v>4</v>
      </c>
      <c r="E236" s="33"/>
      <c r="F236" s="33">
        <v>0.25</v>
      </c>
      <c r="G236" s="44">
        <f t="shared" si="33"/>
        <v>-2</v>
      </c>
      <c r="H236" s="45"/>
      <c r="I236" s="45"/>
    </row>
    <row r="237" spans="1:9">
      <c r="A237" s="41"/>
      <c r="B237" s="81" t="s">
        <v>104</v>
      </c>
      <c r="C237" s="41"/>
      <c r="D237" s="33"/>
      <c r="E237" s="33"/>
      <c r="F237" s="33"/>
      <c r="G237" s="44"/>
      <c r="H237" s="45"/>
      <c r="I237" s="45"/>
    </row>
    <row r="238" spans="1:9">
      <c r="A238" s="41"/>
      <c r="B238" s="81" t="s">
        <v>81</v>
      </c>
      <c r="C238" s="41"/>
      <c r="D238" s="43"/>
      <c r="E238" s="33"/>
      <c r="F238" s="33"/>
      <c r="G238" s="44"/>
      <c r="H238" s="45"/>
      <c r="I238" s="45"/>
    </row>
    <row r="239" spans="1:9">
      <c r="A239" s="41"/>
      <c r="B239" s="42" t="str">
        <f>B232</f>
        <v>Grid A,B &amp; C</v>
      </c>
      <c r="C239" s="41">
        <v>6</v>
      </c>
      <c r="D239" s="33">
        <f>D232</f>
        <v>31.5</v>
      </c>
      <c r="E239" s="33"/>
      <c r="F239" s="33">
        <v>0.5</v>
      </c>
      <c r="G239" s="44">
        <f t="shared" ref="G239:G240" si="34">TRUNC(C239*D239*F239,2)</f>
        <v>94.5</v>
      </c>
      <c r="H239" s="45"/>
      <c r="I239" s="45"/>
    </row>
    <row r="240" spans="1:9">
      <c r="A240" s="41"/>
      <c r="B240" s="42" t="str">
        <f>B233</f>
        <v>Grid 1,2 &amp; 3</v>
      </c>
      <c r="C240" s="41">
        <v>6</v>
      </c>
      <c r="D240" s="33">
        <f>D233</f>
        <v>25.75</v>
      </c>
      <c r="E240" s="33"/>
      <c r="F240" s="33">
        <v>0.5</v>
      </c>
      <c r="G240" s="44">
        <f t="shared" si="34"/>
        <v>77.25</v>
      </c>
      <c r="H240" s="45"/>
      <c r="I240" s="45"/>
    </row>
    <row r="241" spans="1:9">
      <c r="A241" s="41"/>
      <c r="B241" s="42"/>
      <c r="C241" s="41"/>
      <c r="D241" s="43"/>
      <c r="E241" s="33"/>
      <c r="F241" s="33"/>
      <c r="G241" s="44"/>
      <c r="H241" s="45"/>
      <c r="I241" s="45"/>
    </row>
    <row r="242" spans="1:9">
      <c r="A242" s="41"/>
      <c r="B242" s="42"/>
      <c r="C242" s="41"/>
      <c r="D242" s="43"/>
      <c r="E242" s="43"/>
      <c r="F242" s="43"/>
      <c r="G242" s="44">
        <f>SUM(G209:G240)</f>
        <v>2009.3999999999999</v>
      </c>
      <c r="H242" s="45" t="s">
        <v>107</v>
      </c>
      <c r="I242" s="45"/>
    </row>
    <row r="243" spans="1:9">
      <c r="A243" s="41"/>
      <c r="B243" s="75" t="s">
        <v>32</v>
      </c>
      <c r="C243" s="74"/>
      <c r="D243" s="78"/>
      <c r="E243" s="78"/>
      <c r="F243" s="78"/>
      <c r="G243" s="40">
        <f>G242/10.76</f>
        <v>186.74721189591077</v>
      </c>
      <c r="H243" s="75" t="s">
        <v>47</v>
      </c>
      <c r="I243" s="45"/>
    </row>
    <row r="244" spans="1:9">
      <c r="A244" s="41"/>
      <c r="B244" s="45"/>
      <c r="C244" s="41"/>
      <c r="D244" s="43"/>
      <c r="E244" s="43"/>
      <c r="F244" s="43"/>
      <c r="G244" s="44"/>
      <c r="H244" s="45"/>
      <c r="I244" s="45"/>
    </row>
    <row r="245" spans="1:9" ht="15.75">
      <c r="A245" s="76">
        <v>9</v>
      </c>
      <c r="B245" s="77" t="s">
        <v>33</v>
      </c>
      <c r="C245" s="41"/>
      <c r="D245" s="43"/>
      <c r="E245" s="43"/>
      <c r="F245" s="43"/>
      <c r="G245" s="44"/>
      <c r="H245" s="45"/>
      <c r="I245" s="45"/>
    </row>
    <row r="246" spans="1:9">
      <c r="A246" s="74">
        <v>9.1</v>
      </c>
      <c r="B246" s="75" t="s">
        <v>16</v>
      </c>
      <c r="C246" s="41"/>
      <c r="D246" s="43"/>
      <c r="E246" s="43"/>
      <c r="F246" s="43"/>
      <c r="G246" s="44"/>
      <c r="H246" s="45"/>
      <c r="I246" s="45"/>
    </row>
    <row r="247" spans="1:9">
      <c r="A247" s="41"/>
      <c r="B247" s="81" t="str">
        <f>B232</f>
        <v>Grid A,B &amp; C</v>
      </c>
      <c r="C247" s="41"/>
      <c r="D247" s="33"/>
      <c r="E247" s="43"/>
      <c r="F247" s="43"/>
      <c r="G247" s="44"/>
      <c r="H247" s="45"/>
      <c r="I247" s="45"/>
    </row>
    <row r="248" spans="1:9" s="19" customFormat="1">
      <c r="A248" s="41"/>
      <c r="B248" s="42" t="s">
        <v>112</v>
      </c>
      <c r="C248" s="41">
        <v>3</v>
      </c>
      <c r="D248" s="33">
        <f>D224</f>
        <v>31.5</v>
      </c>
      <c r="E248" s="43">
        <v>2.25</v>
      </c>
      <c r="F248" s="43">
        <v>0.42</v>
      </c>
      <c r="G248" s="44">
        <f t="shared" ref="G248:G250" si="35">TRUNC(C248*D248*E248*F248,2)</f>
        <v>89.3</v>
      </c>
      <c r="H248" s="45"/>
      <c r="I248" s="45"/>
    </row>
    <row r="249" spans="1:9" s="19" customFormat="1">
      <c r="A249" s="41"/>
      <c r="B249" s="42" t="s">
        <v>113</v>
      </c>
      <c r="C249" s="41">
        <v>3</v>
      </c>
      <c r="D249" s="33">
        <f>D248</f>
        <v>31.5</v>
      </c>
      <c r="E249" s="43">
        <v>1.5</v>
      </c>
      <c r="F249" s="43">
        <v>0.42</v>
      </c>
      <c r="G249" s="44">
        <f t="shared" si="35"/>
        <v>59.53</v>
      </c>
      <c r="H249" s="45"/>
      <c r="I249" s="45"/>
    </row>
    <row r="250" spans="1:9" s="19" customFormat="1">
      <c r="A250" s="41"/>
      <c r="B250" s="42" t="s">
        <v>114</v>
      </c>
      <c r="C250" s="41">
        <v>3</v>
      </c>
      <c r="D250" s="33">
        <f>D248</f>
        <v>31.5</v>
      </c>
      <c r="E250" s="43">
        <v>1.17</v>
      </c>
      <c r="F250" s="43">
        <v>0.42</v>
      </c>
      <c r="G250" s="44">
        <f t="shared" si="35"/>
        <v>46.43</v>
      </c>
      <c r="H250" s="45"/>
      <c r="I250" s="45"/>
    </row>
    <row r="251" spans="1:9" s="19" customFormat="1">
      <c r="A251" s="41"/>
      <c r="B251" s="42" t="s">
        <v>115</v>
      </c>
      <c r="C251" s="41">
        <v>3</v>
      </c>
      <c r="D251" s="33">
        <f>D249</f>
        <v>31.5</v>
      </c>
      <c r="E251" s="43">
        <v>0.75</v>
      </c>
      <c r="F251" s="43">
        <v>2</v>
      </c>
      <c r="G251" s="44">
        <f t="shared" ref="G251" si="36">TRUNC(C251*D251*E251*F251,2)</f>
        <v>141.75</v>
      </c>
      <c r="H251" s="45"/>
      <c r="I251" s="45"/>
    </row>
    <row r="252" spans="1:9">
      <c r="A252" s="41"/>
      <c r="B252" s="81" t="s">
        <v>124</v>
      </c>
      <c r="C252" s="41"/>
      <c r="D252" s="33"/>
      <c r="E252" s="43"/>
      <c r="F252" s="43"/>
      <c r="G252" s="44"/>
      <c r="H252" s="45"/>
      <c r="I252" s="45"/>
    </row>
    <row r="253" spans="1:9" s="19" customFormat="1">
      <c r="A253" s="41"/>
      <c r="B253" s="42" t="s">
        <v>112</v>
      </c>
      <c r="C253" s="41">
        <v>3</v>
      </c>
      <c r="D253" s="33">
        <f>D216</f>
        <v>25.75</v>
      </c>
      <c r="E253" s="43">
        <v>2.25</v>
      </c>
      <c r="F253" s="43">
        <v>0.42</v>
      </c>
      <c r="G253" s="44">
        <f t="shared" ref="G253:G255" si="37">TRUNC(C253*D253*E253*F253,2)</f>
        <v>73</v>
      </c>
      <c r="H253" s="45"/>
      <c r="I253" s="45"/>
    </row>
    <row r="254" spans="1:9" s="19" customFormat="1">
      <c r="A254" s="41"/>
      <c r="B254" s="42" t="s">
        <v>113</v>
      </c>
      <c r="C254" s="41">
        <v>3</v>
      </c>
      <c r="D254" s="33">
        <f>D253</f>
        <v>25.75</v>
      </c>
      <c r="E254" s="43">
        <v>1.5</v>
      </c>
      <c r="F254" s="43">
        <v>0.42</v>
      </c>
      <c r="G254" s="44">
        <f t="shared" si="37"/>
        <v>48.66</v>
      </c>
      <c r="H254" s="45"/>
      <c r="I254" s="45"/>
    </row>
    <row r="255" spans="1:9" s="19" customFormat="1">
      <c r="A255" s="41"/>
      <c r="B255" s="42" t="s">
        <v>114</v>
      </c>
      <c r="C255" s="41">
        <v>3</v>
      </c>
      <c r="D255" s="33">
        <f>D254</f>
        <v>25.75</v>
      </c>
      <c r="E255" s="43">
        <v>1.17</v>
      </c>
      <c r="F255" s="43">
        <v>0.42</v>
      </c>
      <c r="G255" s="44">
        <f t="shared" si="37"/>
        <v>37.96</v>
      </c>
      <c r="H255" s="45"/>
      <c r="I255" s="45"/>
    </row>
    <row r="256" spans="1:9" s="19" customFormat="1">
      <c r="A256" s="41"/>
      <c r="B256" s="42" t="s">
        <v>115</v>
      </c>
      <c r="C256" s="41">
        <v>3</v>
      </c>
      <c r="D256" s="33">
        <f>D255</f>
        <v>25.75</v>
      </c>
      <c r="E256" s="43">
        <f>E251</f>
        <v>0.75</v>
      </c>
      <c r="F256" s="43">
        <f>F255</f>
        <v>0.42</v>
      </c>
      <c r="G256" s="44">
        <f>F256*E256*D256*C256</f>
        <v>24.333750000000002</v>
      </c>
      <c r="H256" s="45"/>
      <c r="I256" s="45"/>
    </row>
    <row r="257" spans="1:9" s="19" customFormat="1">
      <c r="A257" s="41"/>
      <c r="B257" s="42" t="s">
        <v>148</v>
      </c>
      <c r="C257" s="41">
        <v>-3</v>
      </c>
      <c r="D257" s="33">
        <v>0.83</v>
      </c>
      <c r="E257" s="43">
        <v>4</v>
      </c>
      <c r="F257" s="43">
        <v>0.5</v>
      </c>
      <c r="G257" s="44">
        <f>F257*E257*D257*C257</f>
        <v>-4.9799999999999995</v>
      </c>
      <c r="H257" s="45"/>
      <c r="I257" s="45"/>
    </row>
    <row r="258" spans="1:9">
      <c r="A258" s="41"/>
      <c r="B258" s="42"/>
      <c r="C258" s="41"/>
      <c r="D258" s="33"/>
      <c r="E258" s="33"/>
      <c r="F258" s="33"/>
      <c r="G258" s="56">
        <f>SUM(G248:G257)</f>
        <v>515.98374999999987</v>
      </c>
      <c r="H258" s="45" t="s">
        <v>105</v>
      </c>
      <c r="I258" s="45"/>
    </row>
    <row r="259" spans="1:9">
      <c r="A259" s="41"/>
      <c r="B259" s="75" t="s">
        <v>34</v>
      </c>
      <c r="C259" s="74"/>
      <c r="D259" s="78"/>
      <c r="E259" s="78"/>
      <c r="F259" s="78"/>
      <c r="G259" s="40">
        <f>G258/35.3</f>
        <v>14.617103399433425</v>
      </c>
      <c r="H259" s="75" t="s">
        <v>46</v>
      </c>
      <c r="I259" s="45"/>
    </row>
    <row r="260" spans="1:9" s="46" customFormat="1">
      <c r="A260" s="41"/>
      <c r="B260" s="45"/>
      <c r="C260" s="41"/>
      <c r="D260" s="43"/>
      <c r="E260" s="43"/>
      <c r="F260" s="43"/>
      <c r="G260" s="44"/>
      <c r="H260" s="45"/>
      <c r="I260" s="45"/>
    </row>
    <row r="261" spans="1:9">
      <c r="A261" s="74">
        <v>9.1999999999999993</v>
      </c>
      <c r="B261" s="75" t="s">
        <v>80</v>
      </c>
      <c r="C261" s="41"/>
      <c r="D261" s="43"/>
      <c r="E261" s="43"/>
      <c r="F261" s="43"/>
      <c r="G261" s="44"/>
      <c r="H261" s="45"/>
      <c r="I261" s="45"/>
    </row>
    <row r="262" spans="1:9">
      <c r="A262" s="41"/>
      <c r="B262" s="75" t="s">
        <v>28</v>
      </c>
      <c r="C262" s="41"/>
      <c r="D262" s="43"/>
      <c r="E262" s="43"/>
      <c r="F262" s="43"/>
      <c r="G262" s="44"/>
      <c r="H262" s="45"/>
      <c r="I262" s="45"/>
    </row>
    <row r="263" spans="1:9">
      <c r="A263" s="41"/>
      <c r="B263" s="42" t="s">
        <v>132</v>
      </c>
      <c r="C263" s="41">
        <v>3</v>
      </c>
      <c r="D263" s="33">
        <f>D253</f>
        <v>25.75</v>
      </c>
      <c r="E263" s="43">
        <v>0.75</v>
      </c>
      <c r="F263" s="43">
        <v>8.67</v>
      </c>
      <c r="G263" s="44">
        <f t="shared" ref="G263:G264" si="38">TRUNC(C263*D263*E263*F263,2)</f>
        <v>502.31</v>
      </c>
      <c r="H263" s="45"/>
      <c r="I263" s="45"/>
    </row>
    <row r="264" spans="1:9" s="19" customFormat="1">
      <c r="A264" s="41"/>
      <c r="B264" s="42" t="s">
        <v>130</v>
      </c>
      <c r="C264" s="41">
        <v>2</v>
      </c>
      <c r="D264" s="33">
        <f>D248</f>
        <v>31.5</v>
      </c>
      <c r="E264" s="43">
        <v>0.75</v>
      </c>
      <c r="F264" s="43">
        <v>8.67</v>
      </c>
      <c r="G264" s="44">
        <f t="shared" si="38"/>
        <v>409.65</v>
      </c>
      <c r="H264" s="45"/>
      <c r="I264" s="45"/>
    </row>
    <row r="265" spans="1:9" s="46" customFormat="1">
      <c r="A265" s="41"/>
      <c r="B265" s="42" t="s">
        <v>141</v>
      </c>
      <c r="C265" s="41">
        <v>1</v>
      </c>
      <c r="D265" s="43">
        <v>28</v>
      </c>
      <c r="E265" s="43">
        <v>0.33</v>
      </c>
      <c r="F265" s="43">
        <v>8.67</v>
      </c>
      <c r="G265" s="44">
        <f>F265*E265*D265*C265</f>
        <v>80.110799999999998</v>
      </c>
      <c r="H265" s="45"/>
      <c r="I265" s="45"/>
    </row>
    <row r="266" spans="1:9">
      <c r="A266" s="41"/>
      <c r="B266" s="42" t="s">
        <v>35</v>
      </c>
      <c r="C266" s="41"/>
      <c r="D266" s="43"/>
      <c r="E266" s="43"/>
      <c r="F266" s="43"/>
      <c r="G266" s="44"/>
      <c r="H266" s="45"/>
      <c r="I266" s="45"/>
    </row>
    <row r="267" spans="1:9" s="19" customFormat="1" ht="13.5" customHeight="1">
      <c r="A267" s="41"/>
      <c r="B267" s="70" t="s">
        <v>126</v>
      </c>
      <c r="C267" s="41">
        <v>-1</v>
      </c>
      <c r="D267" s="43">
        <v>5</v>
      </c>
      <c r="E267" s="43">
        <v>0.33</v>
      </c>
      <c r="F267" s="43">
        <v>7</v>
      </c>
      <c r="G267" s="44">
        <f t="shared" ref="G267:G270" si="39">TRUNC(C267*D267*E267*F267,2)</f>
        <v>-11.55</v>
      </c>
      <c r="H267" s="45"/>
      <c r="I267" s="45"/>
    </row>
    <row r="268" spans="1:9" s="19" customFormat="1" ht="13.5" customHeight="1">
      <c r="A268" s="41"/>
      <c r="B268" s="70" t="s">
        <v>78</v>
      </c>
      <c r="C268" s="41">
        <v>-3</v>
      </c>
      <c r="D268" s="43">
        <v>3</v>
      </c>
      <c r="E268" s="43">
        <v>0.33</v>
      </c>
      <c r="F268" s="43">
        <v>7</v>
      </c>
      <c r="G268" s="44">
        <f t="shared" ref="G268" si="40">TRUNC(C268*D268*E268*F268,2)</f>
        <v>-20.79</v>
      </c>
      <c r="H268" s="45"/>
      <c r="I268" s="45"/>
    </row>
    <row r="269" spans="1:9">
      <c r="A269" s="41"/>
      <c r="B269" s="70" t="s">
        <v>127</v>
      </c>
      <c r="C269" s="41">
        <v>-4</v>
      </c>
      <c r="D269" s="43">
        <v>6</v>
      </c>
      <c r="E269" s="43">
        <v>0.75</v>
      </c>
      <c r="F269" s="43">
        <v>4</v>
      </c>
      <c r="G269" s="44">
        <f>TRUNC(C269*D269*E269*F269,2)</f>
        <v>-72</v>
      </c>
      <c r="H269" s="45"/>
      <c r="I269" s="45"/>
    </row>
    <row r="270" spans="1:9" s="19" customFormat="1">
      <c r="A270" s="41"/>
      <c r="B270" s="70" t="s">
        <v>142</v>
      </c>
      <c r="C270" s="41">
        <v>-4</v>
      </c>
      <c r="D270" s="43">
        <v>4</v>
      </c>
      <c r="E270" s="43">
        <v>0.75</v>
      </c>
      <c r="F270" s="43">
        <v>4</v>
      </c>
      <c r="G270" s="44">
        <f t="shared" si="39"/>
        <v>-48</v>
      </c>
      <c r="H270" s="45"/>
      <c r="I270" s="45"/>
    </row>
    <row r="271" spans="1:9">
      <c r="A271" s="41"/>
      <c r="B271" s="42"/>
      <c r="C271" s="41"/>
      <c r="D271" s="43"/>
      <c r="E271" s="43"/>
      <c r="F271" s="43"/>
      <c r="G271" s="44">
        <f>SUM(G263:G270)</f>
        <v>839.73080000000016</v>
      </c>
      <c r="H271" s="45" t="s">
        <v>105</v>
      </c>
      <c r="I271" s="45"/>
    </row>
    <row r="272" spans="1:9">
      <c r="A272" s="41"/>
      <c r="B272" s="75" t="s">
        <v>103</v>
      </c>
      <c r="C272" s="74"/>
      <c r="D272" s="78"/>
      <c r="E272" s="78"/>
      <c r="F272" s="78"/>
      <c r="G272" s="40">
        <f>G271/35.3</f>
        <v>23.788407932011339</v>
      </c>
      <c r="H272" s="75" t="s">
        <v>46</v>
      </c>
      <c r="I272" s="45"/>
    </row>
    <row r="273" spans="1:9">
      <c r="A273" s="41"/>
      <c r="B273" s="45"/>
      <c r="C273" s="41"/>
      <c r="D273" s="43"/>
      <c r="E273" s="43"/>
      <c r="F273" s="43"/>
      <c r="G273" s="44"/>
      <c r="H273" s="45"/>
      <c r="I273" s="45"/>
    </row>
    <row r="274" spans="1:9" ht="15.75">
      <c r="A274" s="76">
        <v>10</v>
      </c>
      <c r="B274" s="77" t="s">
        <v>133</v>
      </c>
      <c r="C274" s="41"/>
      <c r="D274" s="43"/>
      <c r="E274" s="43"/>
      <c r="F274" s="43"/>
      <c r="G274" s="44"/>
      <c r="H274" s="45"/>
      <c r="I274" s="45"/>
    </row>
    <row r="275" spans="1:9">
      <c r="A275" s="41"/>
      <c r="B275" s="75" t="s">
        <v>28</v>
      </c>
      <c r="C275" s="41"/>
      <c r="D275" s="43"/>
      <c r="E275" s="43"/>
      <c r="F275" s="43"/>
      <c r="G275" s="44"/>
      <c r="H275" s="45"/>
      <c r="I275" s="45"/>
    </row>
    <row r="276" spans="1:9">
      <c r="A276" s="41"/>
      <c r="B276" s="70" t="s">
        <v>77</v>
      </c>
      <c r="C276" s="41"/>
      <c r="D276" s="43"/>
      <c r="E276" s="43"/>
      <c r="F276" s="43"/>
      <c r="G276" s="44"/>
      <c r="H276" s="45"/>
      <c r="I276" s="45"/>
    </row>
    <row r="277" spans="1:9" s="19" customFormat="1" ht="13.5" customHeight="1">
      <c r="A277" s="41"/>
      <c r="B277" s="70" t="s">
        <v>126</v>
      </c>
      <c r="C277" s="41">
        <v>1</v>
      </c>
      <c r="D277" s="43">
        <v>5</v>
      </c>
      <c r="E277" s="43">
        <v>0.33</v>
      </c>
      <c r="F277" s="43">
        <v>0.25</v>
      </c>
      <c r="G277" s="44">
        <f>F277*E277*D277*C277</f>
        <v>0.41250000000000003</v>
      </c>
      <c r="H277" s="45"/>
      <c r="I277" s="45"/>
    </row>
    <row r="278" spans="1:9" s="19" customFormat="1" ht="13.5" customHeight="1">
      <c r="A278" s="41"/>
      <c r="B278" s="70" t="s">
        <v>78</v>
      </c>
      <c r="C278" s="41">
        <v>3</v>
      </c>
      <c r="D278" s="43">
        <v>3</v>
      </c>
      <c r="E278" s="43">
        <v>0.33</v>
      </c>
      <c r="F278" s="43">
        <v>0.25</v>
      </c>
      <c r="G278" s="44">
        <f t="shared" ref="G278:G280" si="41">F278*E278*D278*C278</f>
        <v>0.74249999999999994</v>
      </c>
      <c r="H278" s="45"/>
      <c r="I278" s="45"/>
    </row>
    <row r="279" spans="1:9" s="19" customFormat="1">
      <c r="A279" s="41"/>
      <c r="B279" s="70" t="s">
        <v>127</v>
      </c>
      <c r="C279" s="41">
        <v>4</v>
      </c>
      <c r="D279" s="43">
        <v>6</v>
      </c>
      <c r="E279" s="43">
        <v>0.33</v>
      </c>
      <c r="F279" s="43">
        <v>0.25</v>
      </c>
      <c r="G279" s="44">
        <f t="shared" si="41"/>
        <v>1.98</v>
      </c>
      <c r="H279" s="45"/>
      <c r="I279" s="45"/>
    </row>
    <row r="280" spans="1:9" s="19" customFormat="1">
      <c r="A280" s="41"/>
      <c r="B280" s="70" t="s">
        <v>142</v>
      </c>
      <c r="C280" s="41">
        <v>4</v>
      </c>
      <c r="D280" s="43">
        <v>4</v>
      </c>
      <c r="E280" s="43">
        <v>0.33</v>
      </c>
      <c r="F280" s="43">
        <v>0.25</v>
      </c>
      <c r="G280" s="44">
        <f t="shared" si="41"/>
        <v>1.32</v>
      </c>
      <c r="H280" s="45"/>
      <c r="I280" s="45"/>
    </row>
    <row r="281" spans="1:9" s="19" customFormat="1">
      <c r="A281" s="41"/>
      <c r="B281" s="70"/>
      <c r="C281" s="41"/>
      <c r="D281" s="43"/>
      <c r="E281" s="43"/>
      <c r="F281" s="43"/>
      <c r="G281" s="56"/>
      <c r="H281" s="45"/>
      <c r="I281" s="45"/>
    </row>
    <row r="282" spans="1:9">
      <c r="A282" s="41"/>
      <c r="B282" s="70"/>
      <c r="C282" s="41"/>
      <c r="D282" s="43"/>
      <c r="E282" s="43"/>
      <c r="F282" s="43"/>
      <c r="G282" s="56">
        <f>SUM(G277:G281)</f>
        <v>4.4550000000000001</v>
      </c>
      <c r="H282" s="45" t="s">
        <v>105</v>
      </c>
      <c r="I282" s="45"/>
    </row>
    <row r="283" spans="1:9">
      <c r="A283" s="41"/>
      <c r="B283" s="75" t="s">
        <v>36</v>
      </c>
      <c r="C283" s="74"/>
      <c r="D283" s="78"/>
      <c r="E283" s="78"/>
      <c r="F283" s="78"/>
      <c r="G283" s="83">
        <f>G282/35.3</f>
        <v>0.12620396600566575</v>
      </c>
      <c r="H283" s="75" t="s">
        <v>46</v>
      </c>
      <c r="I283" s="45"/>
    </row>
    <row r="284" spans="1:9">
      <c r="A284" s="41"/>
      <c r="B284" s="45"/>
      <c r="C284" s="41"/>
      <c r="D284" s="43"/>
      <c r="E284" s="43"/>
      <c r="F284" s="43"/>
      <c r="G284" s="44"/>
      <c r="H284" s="45"/>
      <c r="I284" s="45"/>
    </row>
    <row r="285" spans="1:9" ht="15.75">
      <c r="A285" s="76">
        <v>11</v>
      </c>
      <c r="B285" s="77" t="s">
        <v>134</v>
      </c>
      <c r="C285" s="41"/>
      <c r="D285" s="43"/>
      <c r="E285" s="43"/>
      <c r="F285" s="43"/>
      <c r="G285" s="44"/>
      <c r="H285" s="45"/>
      <c r="I285" s="45"/>
    </row>
    <row r="286" spans="1:9" s="19" customFormat="1" ht="13.5" customHeight="1">
      <c r="A286" s="41"/>
      <c r="B286" s="70" t="s">
        <v>126</v>
      </c>
      <c r="C286" s="41">
        <v>1</v>
      </c>
      <c r="D286" s="43">
        <v>5</v>
      </c>
      <c r="E286" s="43"/>
      <c r="F286" s="43">
        <v>7</v>
      </c>
      <c r="G286" s="44">
        <f>F286*D286*C286</f>
        <v>35</v>
      </c>
      <c r="H286" s="45"/>
      <c r="I286" s="45"/>
    </row>
    <row r="287" spans="1:9" s="19" customFormat="1" ht="13.5" customHeight="1">
      <c r="A287" s="41"/>
      <c r="B287" s="70" t="s">
        <v>78</v>
      </c>
      <c r="C287" s="41">
        <v>3</v>
      </c>
      <c r="D287" s="43">
        <v>3</v>
      </c>
      <c r="E287" s="43"/>
      <c r="F287" s="43">
        <v>7</v>
      </c>
      <c r="G287" s="44">
        <f t="shared" ref="G287:G289" si="42">F287*D287*C287</f>
        <v>63</v>
      </c>
      <c r="H287" s="45"/>
      <c r="I287" s="45"/>
    </row>
    <row r="288" spans="1:9" s="19" customFormat="1">
      <c r="A288" s="41"/>
      <c r="B288" s="70" t="s">
        <v>127</v>
      </c>
      <c r="C288" s="41">
        <v>4</v>
      </c>
      <c r="D288" s="43">
        <v>6</v>
      </c>
      <c r="E288" s="43"/>
      <c r="F288" s="43">
        <v>4</v>
      </c>
      <c r="G288" s="44">
        <f t="shared" si="42"/>
        <v>96</v>
      </c>
      <c r="H288" s="45"/>
      <c r="I288" s="45"/>
    </row>
    <row r="289" spans="1:9" s="19" customFormat="1">
      <c r="A289" s="41"/>
      <c r="B289" s="70" t="s">
        <v>142</v>
      </c>
      <c r="C289" s="41">
        <v>4</v>
      </c>
      <c r="D289" s="43">
        <v>4</v>
      </c>
      <c r="E289" s="43"/>
      <c r="F289" s="43">
        <v>4</v>
      </c>
      <c r="G289" s="44">
        <f t="shared" si="42"/>
        <v>64</v>
      </c>
      <c r="H289" s="45"/>
      <c r="I289" s="45"/>
    </row>
    <row r="290" spans="1:9">
      <c r="A290" s="41"/>
      <c r="B290" s="70"/>
      <c r="C290" s="41"/>
      <c r="D290" s="43"/>
      <c r="E290" s="43"/>
      <c r="F290" s="43"/>
      <c r="G290" s="44">
        <f>SUM(G286:G289)</f>
        <v>258</v>
      </c>
      <c r="H290" s="45" t="s">
        <v>107</v>
      </c>
      <c r="I290" s="45"/>
    </row>
    <row r="291" spans="1:9">
      <c r="A291" s="41"/>
      <c r="B291" s="75" t="s">
        <v>37</v>
      </c>
      <c r="C291" s="74"/>
      <c r="D291" s="78"/>
      <c r="E291" s="78"/>
      <c r="F291" s="78"/>
      <c r="G291" s="40">
        <f>G290/10.76</f>
        <v>23.977695167286246</v>
      </c>
      <c r="H291" s="75" t="s">
        <v>47</v>
      </c>
      <c r="I291" s="45"/>
    </row>
    <row r="292" spans="1:9">
      <c r="A292" s="41"/>
      <c r="B292" s="70"/>
      <c r="C292" s="41"/>
      <c r="D292" s="43"/>
      <c r="E292" s="43"/>
      <c r="F292" s="43"/>
      <c r="G292" s="44"/>
      <c r="H292" s="45"/>
      <c r="I292" s="45"/>
    </row>
    <row r="293" spans="1:9" ht="15.75">
      <c r="A293" s="76">
        <v>12</v>
      </c>
      <c r="B293" s="77" t="s">
        <v>79</v>
      </c>
      <c r="C293" s="41"/>
      <c r="D293" s="43"/>
      <c r="E293" s="43"/>
      <c r="F293" s="43"/>
      <c r="G293" s="44"/>
      <c r="H293" s="45"/>
      <c r="I293" s="45"/>
    </row>
    <row r="294" spans="1:9" s="19" customFormat="1">
      <c r="A294" s="41"/>
      <c r="B294" s="70" t="s">
        <v>127</v>
      </c>
      <c r="C294" s="41">
        <v>4</v>
      </c>
      <c r="D294" s="43">
        <v>6</v>
      </c>
      <c r="E294" s="43"/>
      <c r="F294" s="43">
        <v>4</v>
      </c>
      <c r="G294" s="44">
        <f t="shared" ref="G294:G295" si="43">F294*D294*C294</f>
        <v>96</v>
      </c>
      <c r="H294" s="45"/>
      <c r="I294" s="45"/>
    </row>
    <row r="295" spans="1:9" s="19" customFormat="1">
      <c r="A295" s="41"/>
      <c r="B295" s="70" t="s">
        <v>142</v>
      </c>
      <c r="C295" s="41">
        <v>4</v>
      </c>
      <c r="D295" s="43">
        <v>4</v>
      </c>
      <c r="E295" s="43"/>
      <c r="F295" s="43">
        <v>4</v>
      </c>
      <c r="G295" s="44">
        <f t="shared" si="43"/>
        <v>64</v>
      </c>
      <c r="H295" s="45"/>
      <c r="I295" s="45"/>
    </row>
    <row r="296" spans="1:9">
      <c r="A296" s="41"/>
      <c r="B296" s="70"/>
      <c r="C296" s="41"/>
      <c r="D296" s="43"/>
      <c r="E296" s="43"/>
      <c r="F296" s="43"/>
      <c r="G296" s="44">
        <f>SUM(G294:G295)</f>
        <v>160</v>
      </c>
      <c r="H296" s="45"/>
      <c r="I296" s="45"/>
    </row>
    <row r="297" spans="1:9">
      <c r="A297" s="41"/>
      <c r="B297" s="75" t="s">
        <v>92</v>
      </c>
      <c r="C297" s="74"/>
      <c r="D297" s="78"/>
      <c r="E297" s="78"/>
      <c r="F297" s="78"/>
      <c r="G297" s="40">
        <f>G296/10.76</f>
        <v>14.869888475836431</v>
      </c>
      <c r="H297" s="75" t="s">
        <v>47</v>
      </c>
      <c r="I297" s="45"/>
    </row>
    <row r="298" spans="1:9" s="67" customFormat="1">
      <c r="A298" s="41"/>
      <c r="B298" s="75"/>
      <c r="C298" s="74"/>
      <c r="D298" s="78"/>
      <c r="E298" s="78"/>
      <c r="F298" s="78"/>
      <c r="G298" s="40"/>
      <c r="H298" s="75"/>
      <c r="I298" s="45"/>
    </row>
    <row r="299" spans="1:9" s="19" customFormat="1" ht="15.75">
      <c r="A299" s="76">
        <v>13</v>
      </c>
      <c r="B299" s="77" t="s">
        <v>145</v>
      </c>
      <c r="C299" s="41"/>
      <c r="D299" s="43"/>
      <c r="E299" s="43"/>
      <c r="F299" s="43"/>
      <c r="G299" s="44"/>
      <c r="H299" s="45"/>
      <c r="I299" s="45"/>
    </row>
    <row r="300" spans="1:9" s="19" customFormat="1">
      <c r="A300" s="41"/>
      <c r="B300" s="70" t="s">
        <v>138</v>
      </c>
      <c r="C300" s="41">
        <v>1</v>
      </c>
      <c r="D300" s="43">
        <v>5</v>
      </c>
      <c r="E300" s="43"/>
      <c r="F300" s="43">
        <v>7</v>
      </c>
      <c r="G300" s="44">
        <f t="shared" ref="G300" si="44">F300*D300*C300</f>
        <v>35</v>
      </c>
      <c r="H300" s="45"/>
      <c r="I300" s="45"/>
    </row>
    <row r="301" spans="1:9" s="19" customFormat="1">
      <c r="A301" s="41"/>
      <c r="B301" s="70"/>
      <c r="C301" s="41"/>
      <c r="D301" s="43"/>
      <c r="E301" s="43"/>
      <c r="F301" s="43"/>
      <c r="G301" s="44">
        <f>SUM(G300:G300)</f>
        <v>35</v>
      </c>
      <c r="H301" s="45"/>
      <c r="I301" s="45"/>
    </row>
    <row r="302" spans="1:9" s="19" customFormat="1">
      <c r="A302" s="41"/>
      <c r="B302" s="75" t="s">
        <v>92</v>
      </c>
      <c r="C302" s="74"/>
      <c r="D302" s="78"/>
      <c r="E302" s="78"/>
      <c r="F302" s="78"/>
      <c r="G302" s="40">
        <f>G301/10.76</f>
        <v>3.2527881040892193</v>
      </c>
      <c r="H302" s="75" t="s">
        <v>47</v>
      </c>
      <c r="I302" s="45"/>
    </row>
    <row r="303" spans="1:9">
      <c r="A303" s="41"/>
      <c r="B303" s="45"/>
      <c r="C303" s="41"/>
      <c r="D303" s="43"/>
      <c r="E303" s="43"/>
      <c r="F303" s="43"/>
      <c r="G303" s="44"/>
      <c r="H303" s="45"/>
      <c r="I303" s="45"/>
    </row>
    <row r="304" spans="1:9" ht="15.75">
      <c r="A304" s="76">
        <v>14</v>
      </c>
      <c r="B304" s="77" t="s">
        <v>82</v>
      </c>
      <c r="C304" s="41"/>
      <c r="D304" s="43"/>
      <c r="E304" s="43"/>
      <c r="F304" s="43"/>
      <c r="G304" s="44"/>
      <c r="H304" s="45"/>
      <c r="I304" s="45"/>
    </row>
    <row r="305" spans="1:9" ht="15.75">
      <c r="A305" s="76">
        <v>14.1</v>
      </c>
      <c r="B305" s="77" t="s">
        <v>83</v>
      </c>
      <c r="C305" s="41"/>
      <c r="D305" s="43"/>
      <c r="E305" s="43"/>
      <c r="F305" s="43"/>
      <c r="G305" s="44"/>
      <c r="H305" s="45"/>
      <c r="I305" s="45"/>
    </row>
    <row r="306" spans="1:9" s="19" customFormat="1">
      <c r="A306" s="41"/>
      <c r="B306" s="70" t="s">
        <v>143</v>
      </c>
      <c r="C306" s="41">
        <v>1</v>
      </c>
      <c r="D306" s="43">
        <v>31.5</v>
      </c>
      <c r="E306" s="43">
        <v>15</v>
      </c>
      <c r="F306" s="43">
        <f>3.5-0.25-0.25</f>
        <v>3</v>
      </c>
      <c r="G306" s="56">
        <f>F306*E306*D306*C306</f>
        <v>1417.5</v>
      </c>
      <c r="H306" s="45"/>
      <c r="I306" s="45"/>
    </row>
    <row r="307" spans="1:9" s="19" customFormat="1">
      <c r="A307" s="41"/>
      <c r="B307" s="70" t="s">
        <v>149</v>
      </c>
      <c r="C307" s="41">
        <v>2</v>
      </c>
      <c r="D307" s="43">
        <v>10</v>
      </c>
      <c r="E307" s="43">
        <v>8</v>
      </c>
      <c r="F307" s="43">
        <f>3.5-0.25-0.25</f>
        <v>3</v>
      </c>
      <c r="G307" s="56">
        <f>F307*E307*D307*C307</f>
        <v>480</v>
      </c>
      <c r="H307" s="45"/>
      <c r="I307" s="45"/>
    </row>
    <row r="308" spans="1:9">
      <c r="A308" s="41"/>
      <c r="B308" s="70" t="s">
        <v>150</v>
      </c>
      <c r="C308" s="41">
        <v>1</v>
      </c>
      <c r="D308" s="43">
        <v>10</v>
      </c>
      <c r="E308" s="43">
        <v>6</v>
      </c>
      <c r="F308" s="43">
        <f>3.5-0.25-0.25</f>
        <v>3</v>
      </c>
      <c r="G308" s="56">
        <f>F308*E308*D308*C308</f>
        <v>180</v>
      </c>
      <c r="H308" s="45"/>
      <c r="I308" s="45"/>
    </row>
    <row r="309" spans="1:9" s="19" customFormat="1">
      <c r="A309" s="41"/>
      <c r="B309" s="70" t="s">
        <v>151</v>
      </c>
      <c r="C309" s="41">
        <v>1</v>
      </c>
      <c r="D309" s="43">
        <v>10</v>
      </c>
      <c r="E309" s="43">
        <v>7.25</v>
      </c>
      <c r="F309" s="43">
        <f>3.5-0.25-0.25</f>
        <v>3</v>
      </c>
      <c r="G309" s="56">
        <f>F309*E309*D309*C309</f>
        <v>217.5</v>
      </c>
      <c r="H309" s="45"/>
      <c r="I309" s="45"/>
    </row>
    <row r="310" spans="1:9">
      <c r="A310" s="41"/>
      <c r="B310" s="45"/>
      <c r="C310" s="41"/>
      <c r="D310" s="43"/>
      <c r="E310" s="43"/>
      <c r="F310" s="43"/>
      <c r="G310" s="56">
        <f>SUM(G306:G309)</f>
        <v>2295</v>
      </c>
      <c r="H310" s="45"/>
      <c r="I310" s="45"/>
    </row>
    <row r="311" spans="1:9">
      <c r="A311" s="41"/>
      <c r="B311" s="75" t="s">
        <v>17</v>
      </c>
      <c r="C311" s="74"/>
      <c r="D311" s="78"/>
      <c r="E311" s="78"/>
      <c r="F311" s="78"/>
      <c r="G311" s="40">
        <f>G310/35.31</f>
        <v>64.995751911639758</v>
      </c>
      <c r="H311" s="75" t="s">
        <v>46</v>
      </c>
      <c r="I311" s="45"/>
    </row>
    <row r="312" spans="1:9">
      <c r="A312" s="41"/>
      <c r="B312" s="45"/>
      <c r="C312" s="41"/>
      <c r="D312" s="43"/>
      <c r="E312" s="43"/>
      <c r="F312" s="43"/>
      <c r="G312" s="44"/>
      <c r="H312" s="45"/>
      <c r="I312" s="45"/>
    </row>
    <row r="313" spans="1:9" ht="15.75">
      <c r="A313" s="76">
        <v>14.2</v>
      </c>
      <c r="B313" s="77" t="s">
        <v>84</v>
      </c>
      <c r="C313" s="41"/>
      <c r="D313" s="43"/>
      <c r="E313" s="43"/>
      <c r="F313" s="43"/>
      <c r="G313" s="44"/>
      <c r="H313" s="45"/>
      <c r="I313" s="45"/>
    </row>
    <row r="314" spans="1:9" s="19" customFormat="1">
      <c r="A314" s="41"/>
      <c r="B314" s="70" t="str">
        <f>B306</f>
        <v>Hall</v>
      </c>
      <c r="C314" s="41">
        <v>1</v>
      </c>
      <c r="D314" s="43">
        <f>D306</f>
        <v>31.5</v>
      </c>
      <c r="E314" s="43">
        <f>E306</f>
        <v>15</v>
      </c>
      <c r="F314" s="43"/>
      <c r="G314" s="56">
        <f>E314*D314*C314</f>
        <v>472.5</v>
      </c>
      <c r="H314" s="45"/>
      <c r="I314" s="45"/>
    </row>
    <row r="315" spans="1:9" s="19" customFormat="1">
      <c r="A315" s="41"/>
      <c r="B315" s="70" t="str">
        <f>B307</f>
        <v>Office</v>
      </c>
      <c r="C315" s="41">
        <v>2</v>
      </c>
      <c r="D315" s="43">
        <f>D307</f>
        <v>10</v>
      </c>
      <c r="E315" s="43">
        <f>E307</f>
        <v>8</v>
      </c>
      <c r="F315" s="43"/>
      <c r="G315" s="56">
        <f t="shared" ref="G315:G317" si="45">E315*D315*C315</f>
        <v>160</v>
      </c>
      <c r="H315" s="45"/>
      <c r="I315" s="45"/>
    </row>
    <row r="316" spans="1:9" s="19" customFormat="1">
      <c r="A316" s="41"/>
      <c r="B316" s="70" t="str">
        <f>B308</f>
        <v>Store</v>
      </c>
      <c r="C316" s="41">
        <v>1</v>
      </c>
      <c r="D316" s="43">
        <v>10</v>
      </c>
      <c r="E316" s="43">
        <f>E308</f>
        <v>6</v>
      </c>
      <c r="F316" s="43"/>
      <c r="G316" s="56">
        <f t="shared" si="45"/>
        <v>60</v>
      </c>
      <c r="H316" s="45"/>
      <c r="I316" s="45"/>
    </row>
    <row r="317" spans="1:9" s="19" customFormat="1">
      <c r="A317" s="41"/>
      <c r="B317" s="70" t="str">
        <f>B309</f>
        <v>Passage</v>
      </c>
      <c r="C317" s="41">
        <v>1</v>
      </c>
      <c r="D317" s="43">
        <f>D309</f>
        <v>10</v>
      </c>
      <c r="E317" s="43">
        <f>E309</f>
        <v>7.25</v>
      </c>
      <c r="F317" s="43"/>
      <c r="G317" s="56">
        <f t="shared" si="45"/>
        <v>72.5</v>
      </c>
      <c r="H317" s="45"/>
      <c r="I317" s="45"/>
    </row>
    <row r="318" spans="1:9">
      <c r="A318" s="41"/>
      <c r="B318" s="45"/>
      <c r="C318" s="41"/>
      <c r="D318" s="43"/>
      <c r="E318" s="43"/>
      <c r="F318" s="43"/>
      <c r="G318" s="56">
        <f>SUM(G314:G317)</f>
        <v>765</v>
      </c>
      <c r="H318" s="45" t="s">
        <v>107</v>
      </c>
      <c r="I318" s="45"/>
    </row>
    <row r="319" spans="1:9">
      <c r="A319" s="41"/>
      <c r="B319" s="75" t="s">
        <v>93</v>
      </c>
      <c r="C319" s="74"/>
      <c r="D319" s="78"/>
      <c r="E319" s="78"/>
      <c r="F319" s="78"/>
      <c r="G319" s="40">
        <f>G318/10.76</f>
        <v>71.096654275092945</v>
      </c>
      <c r="H319" s="75" t="s">
        <v>47</v>
      </c>
      <c r="I319" s="45"/>
    </row>
    <row r="320" spans="1:9">
      <c r="A320" s="41"/>
      <c r="B320" s="45"/>
      <c r="C320" s="41"/>
      <c r="D320" s="43"/>
      <c r="E320" s="43"/>
      <c r="F320" s="43"/>
      <c r="G320" s="44"/>
      <c r="H320" s="45"/>
      <c r="I320" s="45"/>
    </row>
    <row r="321" spans="1:9" ht="15.75">
      <c r="A321" s="76">
        <v>14.3</v>
      </c>
      <c r="B321" s="93" t="s">
        <v>120</v>
      </c>
      <c r="C321" s="94"/>
      <c r="D321" s="43"/>
      <c r="E321" s="43"/>
      <c r="F321" s="43"/>
      <c r="G321" s="44"/>
      <c r="H321" s="45"/>
      <c r="I321" s="45"/>
    </row>
    <row r="322" spans="1:9" s="19" customFormat="1">
      <c r="A322" s="41"/>
      <c r="B322" s="70" t="str">
        <f>B314</f>
        <v>Hall</v>
      </c>
      <c r="C322" s="41">
        <v>1</v>
      </c>
      <c r="D322" s="43">
        <f>D314</f>
        <v>31.5</v>
      </c>
      <c r="E322" s="43">
        <f>E314</f>
        <v>15</v>
      </c>
      <c r="F322" s="43">
        <v>0.25</v>
      </c>
      <c r="G322" s="56">
        <f>F322*E322*D322*C322</f>
        <v>118.125</v>
      </c>
      <c r="H322" s="45"/>
      <c r="I322" s="45"/>
    </row>
    <row r="323" spans="1:9" s="19" customFormat="1">
      <c r="A323" s="41"/>
      <c r="B323" s="70" t="str">
        <f>B315</f>
        <v>Office</v>
      </c>
      <c r="C323" s="41">
        <v>2</v>
      </c>
      <c r="D323" s="43">
        <v>10</v>
      </c>
      <c r="E323" s="43">
        <f>E315</f>
        <v>8</v>
      </c>
      <c r="F323" s="43">
        <v>0.25</v>
      </c>
      <c r="G323" s="56">
        <f>F323*E323*D323*C323</f>
        <v>40</v>
      </c>
      <c r="H323" s="45"/>
      <c r="I323" s="45"/>
    </row>
    <row r="324" spans="1:9" s="19" customFormat="1">
      <c r="A324" s="41"/>
      <c r="B324" s="70" t="str">
        <f>B316</f>
        <v>Store</v>
      </c>
      <c r="C324" s="41">
        <v>1</v>
      </c>
      <c r="D324" s="43">
        <v>10</v>
      </c>
      <c r="E324" s="43">
        <f>E316</f>
        <v>6</v>
      </c>
      <c r="F324" s="43">
        <v>0.25</v>
      </c>
      <c r="G324" s="56">
        <f>F324*E324*D324*C324</f>
        <v>15</v>
      </c>
      <c r="H324" s="45"/>
      <c r="I324" s="45"/>
    </row>
    <row r="325" spans="1:9" s="19" customFormat="1">
      <c r="A325" s="41"/>
      <c r="B325" s="70" t="str">
        <f>B317</f>
        <v>Passage</v>
      </c>
      <c r="C325" s="41">
        <v>1</v>
      </c>
      <c r="D325" s="43">
        <f>D317</f>
        <v>10</v>
      </c>
      <c r="E325" s="43">
        <f>E317</f>
        <v>7.25</v>
      </c>
      <c r="F325" s="43">
        <v>0.25</v>
      </c>
      <c r="G325" s="56">
        <f>F325*E325*D325*C325</f>
        <v>18.125</v>
      </c>
      <c r="H325" s="45"/>
      <c r="I325" s="45"/>
    </row>
    <row r="326" spans="1:9" s="19" customFormat="1">
      <c r="A326" s="41"/>
      <c r="B326" s="45"/>
      <c r="C326" s="41"/>
      <c r="D326" s="43"/>
      <c r="E326" s="43"/>
      <c r="F326" s="43"/>
      <c r="G326" s="56">
        <f>SUM(G322:G325)</f>
        <v>191.25</v>
      </c>
      <c r="H326" s="45" t="s">
        <v>105</v>
      </c>
      <c r="I326" s="45"/>
    </row>
    <row r="327" spans="1:9">
      <c r="A327" s="41"/>
      <c r="B327" s="75" t="s">
        <v>94</v>
      </c>
      <c r="C327" s="74"/>
      <c r="D327" s="78"/>
      <c r="E327" s="78"/>
      <c r="F327" s="78"/>
      <c r="G327" s="40">
        <f>G326/35.31</f>
        <v>5.4163126593033128</v>
      </c>
      <c r="H327" s="75" t="s">
        <v>46</v>
      </c>
      <c r="I327" s="45"/>
    </row>
    <row r="328" spans="1:9">
      <c r="A328" s="41"/>
      <c r="B328" s="45"/>
      <c r="C328" s="41"/>
      <c r="D328" s="43"/>
      <c r="E328" s="43"/>
      <c r="F328" s="43"/>
      <c r="G328" s="44"/>
      <c r="H328" s="45"/>
      <c r="I328" s="45"/>
    </row>
    <row r="329" spans="1:9" ht="15.75">
      <c r="A329" s="76">
        <v>14.4</v>
      </c>
      <c r="B329" s="77" t="s">
        <v>85</v>
      </c>
      <c r="C329" s="41"/>
      <c r="D329" s="43"/>
      <c r="E329" s="43"/>
      <c r="F329" s="43"/>
      <c r="G329" s="44"/>
      <c r="H329" s="45"/>
      <c r="I329" s="45"/>
    </row>
    <row r="330" spans="1:9" s="19" customFormat="1">
      <c r="A330" s="41"/>
      <c r="B330" s="70" t="str">
        <f>B322</f>
        <v>Hall</v>
      </c>
      <c r="C330" s="41">
        <v>1</v>
      </c>
      <c r="D330" s="43">
        <f>D322</f>
        <v>31.5</v>
      </c>
      <c r="E330" s="43">
        <v>12</v>
      </c>
      <c r="F330" s="43"/>
      <c r="G330" s="56">
        <f>E330*D330*C330</f>
        <v>378</v>
      </c>
      <c r="H330" s="45"/>
      <c r="I330" s="45"/>
    </row>
    <row r="331" spans="1:9" s="19" customFormat="1">
      <c r="A331" s="41"/>
      <c r="B331" s="70" t="str">
        <f>B323</f>
        <v>Office</v>
      </c>
      <c r="C331" s="41">
        <f>C323</f>
        <v>2</v>
      </c>
      <c r="D331" s="43">
        <v>10</v>
      </c>
      <c r="E331" s="43">
        <v>17</v>
      </c>
      <c r="F331" s="43"/>
      <c r="G331" s="56">
        <f t="shared" ref="G331:G333" si="46">E331*D331*C331</f>
        <v>340</v>
      </c>
      <c r="H331" s="45"/>
      <c r="I331" s="45"/>
    </row>
    <row r="332" spans="1:9" s="19" customFormat="1">
      <c r="A332" s="41"/>
      <c r="B332" s="70" t="str">
        <f>B324</f>
        <v>Store</v>
      </c>
      <c r="C332" s="41">
        <v>1</v>
      </c>
      <c r="D332" s="43">
        <v>10</v>
      </c>
      <c r="E332" s="43">
        <v>8.41</v>
      </c>
      <c r="F332" s="43"/>
      <c r="G332" s="56">
        <f t="shared" si="46"/>
        <v>84.1</v>
      </c>
      <c r="H332" s="45"/>
      <c r="I332" s="45"/>
    </row>
    <row r="333" spans="1:9" s="19" customFormat="1">
      <c r="A333" s="41"/>
      <c r="B333" s="70" t="str">
        <f>B325</f>
        <v>Passage</v>
      </c>
      <c r="C333" s="41">
        <v>1</v>
      </c>
      <c r="D333" s="43">
        <f>D325</f>
        <v>10</v>
      </c>
      <c r="E333" s="43">
        <v>10</v>
      </c>
      <c r="F333" s="43"/>
      <c r="G333" s="56">
        <f t="shared" si="46"/>
        <v>100</v>
      </c>
      <c r="H333" s="45"/>
      <c r="I333" s="45"/>
    </row>
    <row r="334" spans="1:9">
      <c r="A334" s="41"/>
      <c r="B334" s="70"/>
      <c r="C334" s="41"/>
      <c r="D334" s="43"/>
      <c r="E334" s="43"/>
      <c r="F334" s="43"/>
      <c r="G334" s="56">
        <f>SUM(G330:G333)</f>
        <v>902.1</v>
      </c>
      <c r="H334" s="45" t="s">
        <v>107</v>
      </c>
      <c r="I334" s="45"/>
    </row>
    <row r="335" spans="1:9">
      <c r="A335" s="41"/>
      <c r="B335" s="75" t="s">
        <v>95</v>
      </c>
      <c r="C335" s="74"/>
      <c r="D335" s="78"/>
      <c r="E335" s="78"/>
      <c r="F335" s="78"/>
      <c r="G335" s="40">
        <f>G334/10.76</f>
        <v>83.838289962825286</v>
      </c>
      <c r="H335" s="75" t="s">
        <v>47</v>
      </c>
      <c r="I335" s="45"/>
    </row>
    <row r="336" spans="1:9">
      <c r="A336" s="41"/>
      <c r="B336" s="45"/>
      <c r="C336" s="41"/>
      <c r="D336" s="43"/>
      <c r="E336" s="43"/>
      <c r="F336" s="43"/>
      <c r="G336" s="44"/>
      <c r="H336" s="45"/>
      <c r="I336" s="45"/>
    </row>
    <row r="337" spans="1:9">
      <c r="A337" s="41"/>
      <c r="B337" s="45"/>
      <c r="C337" s="41"/>
      <c r="D337" s="43"/>
      <c r="E337" s="43"/>
      <c r="F337" s="43"/>
      <c r="G337" s="44"/>
      <c r="H337" s="45"/>
      <c r="I337" s="45"/>
    </row>
    <row r="338" spans="1:9" ht="15.75">
      <c r="A338" s="76">
        <v>15</v>
      </c>
      <c r="B338" s="77" t="s">
        <v>88</v>
      </c>
      <c r="C338" s="41"/>
      <c r="D338" s="43"/>
      <c r="E338" s="43"/>
      <c r="F338" s="43"/>
      <c r="G338" s="44"/>
      <c r="H338" s="45"/>
      <c r="I338" s="45"/>
    </row>
    <row r="339" spans="1:9">
      <c r="A339" s="41"/>
      <c r="B339" s="75" t="s">
        <v>86</v>
      </c>
      <c r="C339" s="41"/>
      <c r="D339" s="43"/>
      <c r="E339" s="43"/>
      <c r="F339" s="43"/>
      <c r="G339" s="44"/>
      <c r="H339" s="45"/>
      <c r="I339" s="45"/>
    </row>
    <row r="340" spans="1:9">
      <c r="A340" s="41"/>
      <c r="B340" s="70" t="s">
        <v>136</v>
      </c>
      <c r="C340" s="41">
        <v>2</v>
      </c>
      <c r="D340" s="43">
        <v>34.5</v>
      </c>
      <c r="E340" s="43"/>
      <c r="F340" s="43">
        <v>8.67</v>
      </c>
      <c r="G340" s="56">
        <f t="shared" ref="G340:G341" si="47">TRUNC(C340*D340*F340,3)</f>
        <v>598.23</v>
      </c>
      <c r="H340" s="45"/>
      <c r="I340" s="45"/>
    </row>
    <row r="341" spans="1:9">
      <c r="A341" s="41"/>
      <c r="B341" s="70" t="s">
        <v>135</v>
      </c>
      <c r="C341" s="41">
        <v>2</v>
      </c>
      <c r="D341" s="43">
        <v>28.75</v>
      </c>
      <c r="E341" s="43"/>
      <c r="F341" s="43">
        <v>8.67</v>
      </c>
      <c r="G341" s="56">
        <f t="shared" si="47"/>
        <v>498.52499999999998</v>
      </c>
      <c r="H341" s="45"/>
      <c r="I341" s="45"/>
    </row>
    <row r="342" spans="1:9" s="19" customFormat="1">
      <c r="A342" s="41"/>
      <c r="B342" s="70"/>
      <c r="C342" s="41"/>
      <c r="D342" s="43"/>
      <c r="E342" s="43"/>
      <c r="F342" s="43"/>
      <c r="G342" s="56"/>
      <c r="H342" s="45"/>
      <c r="I342" s="45"/>
    </row>
    <row r="343" spans="1:9">
      <c r="A343" s="41"/>
      <c r="B343" s="75" t="s">
        <v>87</v>
      </c>
      <c r="C343" s="41"/>
      <c r="D343" s="43"/>
      <c r="E343" s="43"/>
      <c r="F343" s="43"/>
      <c r="G343" s="44"/>
      <c r="H343" s="45"/>
      <c r="I343" s="45"/>
    </row>
    <row r="344" spans="1:9">
      <c r="A344" s="41"/>
      <c r="B344" s="70" t="str">
        <f>B330</f>
        <v>Hall</v>
      </c>
      <c r="C344" s="41">
        <v>2</v>
      </c>
      <c r="D344" s="43">
        <v>15</v>
      </c>
      <c r="E344" s="43"/>
      <c r="F344" s="43">
        <v>8.67</v>
      </c>
      <c r="G344" s="56">
        <f t="shared" ref="G344" si="48">TRUNC(C344*D344*F344,3)</f>
        <v>260.10000000000002</v>
      </c>
      <c r="H344" s="45"/>
      <c r="I344" s="45"/>
    </row>
    <row r="345" spans="1:9">
      <c r="A345" s="41"/>
      <c r="B345" s="70"/>
      <c r="C345" s="41">
        <v>2</v>
      </c>
      <c r="D345" s="43"/>
      <c r="E345" s="43">
        <v>31.5</v>
      </c>
      <c r="F345" s="43">
        <v>8.67</v>
      </c>
      <c r="G345" s="56">
        <f>TRUNC(C345*E345*F345,3)</f>
        <v>546.21</v>
      </c>
      <c r="H345" s="45"/>
      <c r="I345" s="45"/>
    </row>
    <row r="346" spans="1:9" s="19" customFormat="1">
      <c r="A346" s="41"/>
      <c r="B346" s="70" t="str">
        <f>B331</f>
        <v>Office</v>
      </c>
      <c r="C346" s="41">
        <v>4</v>
      </c>
      <c r="D346" s="43">
        <v>10</v>
      </c>
      <c r="E346" s="43"/>
      <c r="F346" s="43">
        <v>8.67</v>
      </c>
      <c r="G346" s="56">
        <f t="shared" ref="G346" si="49">TRUNC(C346*D346*F346,3)</f>
        <v>346.8</v>
      </c>
      <c r="H346" s="45"/>
      <c r="I346" s="45"/>
    </row>
    <row r="347" spans="1:9" s="19" customFormat="1">
      <c r="A347" s="41"/>
      <c r="B347" s="70"/>
      <c r="C347" s="41">
        <v>4</v>
      </c>
      <c r="D347" s="43"/>
      <c r="E347" s="43">
        <v>8</v>
      </c>
      <c r="F347" s="43">
        <v>8.67</v>
      </c>
      <c r="G347" s="56">
        <f>TRUNC(C347*E347*F347,3)</f>
        <v>277.44</v>
      </c>
      <c r="H347" s="45"/>
      <c r="I347" s="45"/>
    </row>
    <row r="348" spans="1:9" s="19" customFormat="1">
      <c r="A348" s="41"/>
      <c r="B348" s="70" t="str">
        <f>B332</f>
        <v>Store</v>
      </c>
      <c r="C348" s="41">
        <v>2</v>
      </c>
      <c r="D348" s="43">
        <v>10</v>
      </c>
      <c r="E348" s="43"/>
      <c r="F348" s="43">
        <v>8.67</v>
      </c>
      <c r="G348" s="56">
        <f t="shared" ref="G348" si="50">TRUNC(C348*D348*F348,3)</f>
        <v>173.4</v>
      </c>
      <c r="H348" s="45"/>
      <c r="I348" s="45"/>
    </row>
    <row r="349" spans="1:9" s="19" customFormat="1">
      <c r="A349" s="41"/>
      <c r="B349" s="70"/>
      <c r="C349" s="41">
        <v>2</v>
      </c>
      <c r="D349" s="43"/>
      <c r="E349" s="43">
        <v>6</v>
      </c>
      <c r="F349" s="43">
        <v>8.67</v>
      </c>
      <c r="G349" s="56">
        <f>TRUNC(C349*E349*F349,3)</f>
        <v>104.04</v>
      </c>
      <c r="H349" s="45"/>
      <c r="I349" s="45"/>
    </row>
    <row r="350" spans="1:9" s="19" customFormat="1">
      <c r="A350" s="41"/>
      <c r="B350" s="70" t="str">
        <f>B333</f>
        <v>Passage</v>
      </c>
      <c r="C350" s="41">
        <v>2</v>
      </c>
      <c r="D350" s="43">
        <v>10</v>
      </c>
      <c r="E350" s="43"/>
      <c r="F350" s="43">
        <v>8.67</v>
      </c>
      <c r="G350" s="56">
        <f t="shared" ref="G350" si="51">TRUNC(C350*D350*F350,3)</f>
        <v>173.4</v>
      </c>
      <c r="H350" s="45"/>
      <c r="I350" s="45"/>
    </row>
    <row r="351" spans="1:9" s="19" customFormat="1">
      <c r="A351" s="41"/>
      <c r="B351" s="70"/>
      <c r="C351" s="41">
        <v>1</v>
      </c>
      <c r="D351" s="43"/>
      <c r="E351" s="43">
        <v>7.25</v>
      </c>
      <c r="F351" s="43">
        <v>8.67</v>
      </c>
      <c r="G351" s="56">
        <f>TRUNC(C351*E351*F351,3)</f>
        <v>62.856999999999999</v>
      </c>
      <c r="H351" s="45"/>
      <c r="I351" s="45"/>
    </row>
    <row r="352" spans="1:9" s="19" customFormat="1">
      <c r="A352" s="41"/>
      <c r="B352" s="70" t="s">
        <v>116</v>
      </c>
      <c r="C352" s="41">
        <v>9</v>
      </c>
      <c r="D352" s="43">
        <v>4</v>
      </c>
      <c r="E352" s="43"/>
      <c r="F352" s="43">
        <v>8.67</v>
      </c>
      <c r="G352" s="56">
        <f t="shared" ref="G352" si="52">TRUNC(C352*D352*F352,3)</f>
        <v>312.12</v>
      </c>
      <c r="H352" s="45"/>
      <c r="I352" s="45"/>
    </row>
    <row r="353" spans="1:9" s="19" customFormat="1">
      <c r="A353" s="41"/>
      <c r="B353" s="70"/>
      <c r="C353" s="41"/>
      <c r="D353" s="43"/>
      <c r="E353" s="43" t="s">
        <v>117</v>
      </c>
      <c r="F353" s="43"/>
      <c r="G353" s="56">
        <f>SUM(G340:G352)</f>
        <v>3353.1220000000003</v>
      </c>
      <c r="H353" s="45"/>
      <c r="I353" s="45"/>
    </row>
    <row r="354" spans="1:9">
      <c r="A354" s="41"/>
      <c r="B354" s="70" t="s">
        <v>35</v>
      </c>
      <c r="C354" s="41"/>
      <c r="D354" s="43"/>
      <c r="E354" s="43"/>
      <c r="F354" s="43"/>
      <c r="G354" s="44"/>
      <c r="H354" s="45"/>
      <c r="I354" s="45"/>
    </row>
    <row r="355" spans="1:9" s="19" customFormat="1" ht="13.5" customHeight="1">
      <c r="A355" s="41"/>
      <c r="B355" s="70" t="s">
        <v>126</v>
      </c>
      <c r="C355" s="41">
        <v>-1</v>
      </c>
      <c r="D355" s="43">
        <v>5</v>
      </c>
      <c r="E355" s="43"/>
      <c r="F355" s="43">
        <v>7</v>
      </c>
      <c r="G355" s="44">
        <f t="shared" ref="G355:G358" si="53">F355*D355*C355</f>
        <v>-35</v>
      </c>
      <c r="H355" s="45"/>
      <c r="I355" s="45"/>
    </row>
    <row r="356" spans="1:9" s="19" customFormat="1" ht="13.5" customHeight="1">
      <c r="A356" s="41"/>
      <c r="B356" s="70" t="s">
        <v>78</v>
      </c>
      <c r="C356" s="41">
        <v>-3</v>
      </c>
      <c r="D356" s="43">
        <v>3</v>
      </c>
      <c r="E356" s="43"/>
      <c r="F356" s="43">
        <v>7</v>
      </c>
      <c r="G356" s="44">
        <f t="shared" si="53"/>
        <v>-63</v>
      </c>
      <c r="H356" s="45"/>
      <c r="I356" s="45"/>
    </row>
    <row r="357" spans="1:9" s="19" customFormat="1">
      <c r="A357" s="41"/>
      <c r="B357" s="70" t="s">
        <v>127</v>
      </c>
      <c r="C357" s="41">
        <v>-4</v>
      </c>
      <c r="D357" s="43">
        <v>6</v>
      </c>
      <c r="E357" s="43"/>
      <c r="F357" s="43">
        <v>4</v>
      </c>
      <c r="G357" s="44">
        <f t="shared" si="53"/>
        <v>-96</v>
      </c>
      <c r="H357" s="45"/>
      <c r="I357" s="45"/>
    </row>
    <row r="358" spans="1:9" s="19" customFormat="1">
      <c r="A358" s="41"/>
      <c r="B358" s="70" t="s">
        <v>142</v>
      </c>
      <c r="C358" s="41">
        <v>-4</v>
      </c>
      <c r="D358" s="43">
        <v>4</v>
      </c>
      <c r="E358" s="43"/>
      <c r="F358" s="43">
        <v>4</v>
      </c>
      <c r="G358" s="44">
        <f t="shared" si="53"/>
        <v>-64</v>
      </c>
      <c r="H358" s="45"/>
      <c r="I358" s="45"/>
    </row>
    <row r="359" spans="1:9" s="19" customFormat="1">
      <c r="A359" s="41"/>
      <c r="B359" s="70"/>
      <c r="C359" s="41"/>
      <c r="D359" s="43"/>
      <c r="E359" s="43"/>
      <c r="F359" s="44" t="s">
        <v>117</v>
      </c>
      <c r="G359" s="95">
        <f>SUM(G355:G358)</f>
        <v>-258</v>
      </c>
      <c r="H359" s="45"/>
      <c r="I359" s="45"/>
    </row>
    <row r="360" spans="1:9">
      <c r="A360" s="41"/>
      <c r="B360" s="70"/>
      <c r="C360" s="41"/>
      <c r="D360" s="43"/>
      <c r="E360" s="43"/>
      <c r="F360" s="43"/>
      <c r="G360" s="44">
        <f>G353+G359</f>
        <v>3095.1220000000003</v>
      </c>
      <c r="H360" s="45" t="s">
        <v>107</v>
      </c>
      <c r="I360" s="45"/>
    </row>
    <row r="361" spans="1:9">
      <c r="A361" s="41"/>
      <c r="B361" s="75" t="s">
        <v>96</v>
      </c>
      <c r="C361" s="74"/>
      <c r="D361" s="78"/>
      <c r="E361" s="78"/>
      <c r="F361" s="78"/>
      <c r="G361" s="40">
        <f>G360/10.76</f>
        <v>287.65074349442381</v>
      </c>
      <c r="H361" s="75" t="s">
        <v>47</v>
      </c>
      <c r="I361" s="45"/>
    </row>
    <row r="362" spans="1:9">
      <c r="A362" s="41"/>
      <c r="B362" s="70"/>
      <c r="C362" s="41"/>
      <c r="D362" s="43"/>
      <c r="E362" s="43"/>
      <c r="F362" s="43"/>
      <c r="G362" s="44"/>
      <c r="H362" s="45"/>
      <c r="I362" s="45"/>
    </row>
    <row r="363" spans="1:9" ht="15.75">
      <c r="A363" s="76">
        <v>16</v>
      </c>
      <c r="B363" s="77" t="s">
        <v>89</v>
      </c>
      <c r="C363" s="41"/>
      <c r="D363" s="43"/>
      <c r="E363" s="43"/>
      <c r="F363" s="43"/>
      <c r="G363" s="44"/>
      <c r="H363" s="45"/>
      <c r="I363" s="45"/>
    </row>
    <row r="364" spans="1:9" s="19" customFormat="1">
      <c r="A364" s="41"/>
      <c r="B364" s="70" t="str">
        <f>B344</f>
        <v>Hall</v>
      </c>
      <c r="C364" s="41">
        <v>1</v>
      </c>
      <c r="D364" s="43">
        <v>31.5</v>
      </c>
      <c r="E364" s="43">
        <v>15</v>
      </c>
      <c r="F364" s="43"/>
      <c r="G364" s="56">
        <f>E364*D364*C364</f>
        <v>472.5</v>
      </c>
      <c r="H364" s="45"/>
      <c r="I364" s="45"/>
    </row>
    <row r="365" spans="1:9" s="19" customFormat="1">
      <c r="A365" s="41"/>
      <c r="B365" s="70" t="str">
        <f>B346</f>
        <v>Office</v>
      </c>
      <c r="C365" s="41">
        <v>2</v>
      </c>
      <c r="D365" s="43">
        <v>10</v>
      </c>
      <c r="E365" s="43">
        <v>8</v>
      </c>
      <c r="F365" s="43"/>
      <c r="G365" s="56">
        <f>E365*D365*C365</f>
        <v>160</v>
      </c>
      <c r="H365" s="45"/>
      <c r="I365" s="45"/>
    </row>
    <row r="366" spans="1:9" s="19" customFormat="1">
      <c r="A366" s="41"/>
      <c r="B366" s="70" t="str">
        <f>B348</f>
        <v>Store</v>
      </c>
      <c r="C366" s="41">
        <v>1</v>
      </c>
      <c r="D366" s="43">
        <v>10</v>
      </c>
      <c r="E366" s="43">
        <v>8</v>
      </c>
      <c r="F366" s="43"/>
      <c r="G366" s="56">
        <f>E366*D366*C366</f>
        <v>80</v>
      </c>
      <c r="H366" s="45"/>
      <c r="I366" s="45"/>
    </row>
    <row r="367" spans="1:9" s="19" customFormat="1">
      <c r="A367" s="41"/>
      <c r="B367" s="70" t="str">
        <f>B350</f>
        <v>Passage</v>
      </c>
      <c r="C367" s="41">
        <v>1</v>
      </c>
      <c r="D367" s="43">
        <v>10</v>
      </c>
      <c r="E367" s="43">
        <v>7.25</v>
      </c>
      <c r="F367" s="43"/>
      <c r="G367" s="56">
        <f>E367*D367*C367</f>
        <v>72.5</v>
      </c>
      <c r="H367" s="45"/>
      <c r="I367" s="45"/>
    </row>
    <row r="368" spans="1:9">
      <c r="A368" s="41"/>
      <c r="B368" s="70"/>
      <c r="C368" s="41"/>
      <c r="D368" s="43"/>
      <c r="E368" s="43"/>
      <c r="F368" s="43"/>
      <c r="G368" s="44">
        <f>SUM(G364:G367)</f>
        <v>785</v>
      </c>
      <c r="H368" s="45" t="s">
        <v>107</v>
      </c>
      <c r="I368" s="45"/>
    </row>
    <row r="369" spans="1:9">
      <c r="A369" s="41"/>
      <c r="B369" s="75" t="s">
        <v>97</v>
      </c>
      <c r="C369" s="74"/>
      <c r="D369" s="78"/>
      <c r="E369" s="78"/>
      <c r="F369" s="78"/>
      <c r="G369" s="40">
        <f>G368/10.76</f>
        <v>72.955390334572499</v>
      </c>
      <c r="H369" s="75" t="s">
        <v>47</v>
      </c>
      <c r="I369" s="45"/>
    </row>
    <row r="370" spans="1:9">
      <c r="A370" s="41"/>
      <c r="B370" s="70"/>
      <c r="C370" s="41"/>
      <c r="D370" s="43"/>
      <c r="E370" s="43"/>
      <c r="F370" s="43"/>
      <c r="G370" s="44"/>
      <c r="H370" s="45"/>
      <c r="I370" s="45"/>
    </row>
    <row r="371" spans="1:9" ht="15.75">
      <c r="A371" s="76">
        <v>17</v>
      </c>
      <c r="B371" s="77" t="s">
        <v>121</v>
      </c>
      <c r="C371" s="41"/>
      <c r="D371" s="43"/>
      <c r="E371" s="43"/>
      <c r="F371" s="43"/>
      <c r="G371" s="44"/>
      <c r="H371" s="45"/>
      <c r="I371" s="45"/>
    </row>
    <row r="372" spans="1:9">
      <c r="A372" s="41"/>
      <c r="B372" s="70" t="s">
        <v>98</v>
      </c>
      <c r="C372" s="41"/>
      <c r="D372" s="43"/>
      <c r="E372" s="43"/>
      <c r="F372" s="43"/>
      <c r="G372" s="44">
        <f>G361</f>
        <v>287.65074349442381</v>
      </c>
      <c r="H372" s="45"/>
      <c r="I372" s="45"/>
    </row>
    <row r="373" spans="1:9">
      <c r="A373" s="41"/>
      <c r="B373" s="70" t="s">
        <v>100</v>
      </c>
      <c r="C373" s="41"/>
      <c r="D373" s="43"/>
      <c r="E373" s="43"/>
      <c r="F373" s="43"/>
      <c r="G373" s="44">
        <f>G369</f>
        <v>72.955390334572499</v>
      </c>
      <c r="H373" s="45"/>
      <c r="I373" s="45"/>
    </row>
    <row r="374" spans="1:9">
      <c r="A374" s="41"/>
      <c r="B374" s="70"/>
      <c r="C374" s="41"/>
      <c r="D374" s="43"/>
      <c r="E374" s="43"/>
      <c r="F374" s="43"/>
      <c r="G374" s="44"/>
      <c r="H374" s="45"/>
      <c r="I374" s="45"/>
    </row>
    <row r="375" spans="1:9">
      <c r="A375" s="41"/>
      <c r="B375" s="75" t="s">
        <v>101</v>
      </c>
      <c r="C375" s="74"/>
      <c r="D375" s="78"/>
      <c r="E375" s="78"/>
      <c r="F375" s="78"/>
      <c r="G375" s="40">
        <f>SUM(G372:G374)</f>
        <v>360.60613382899629</v>
      </c>
      <c r="H375" s="75" t="s">
        <v>47</v>
      </c>
      <c r="I375" s="45"/>
    </row>
    <row r="376" spans="1:9">
      <c r="A376" s="41"/>
      <c r="B376" s="70"/>
      <c r="C376" s="41"/>
      <c r="D376" s="43"/>
      <c r="E376" s="43"/>
      <c r="F376" s="43"/>
      <c r="G376" s="44"/>
      <c r="H376" s="45"/>
      <c r="I376" s="45"/>
    </row>
    <row r="377" spans="1:9" ht="31.5">
      <c r="A377" s="76">
        <v>18</v>
      </c>
      <c r="B377" s="96" t="s">
        <v>99</v>
      </c>
      <c r="C377" s="41"/>
      <c r="D377" s="43"/>
      <c r="E377" s="43"/>
      <c r="F377" s="43"/>
      <c r="G377" s="44"/>
      <c r="H377" s="45"/>
      <c r="I377" s="45"/>
    </row>
    <row r="378" spans="1:9">
      <c r="A378" s="41"/>
      <c r="B378" s="70"/>
      <c r="C378" s="41"/>
      <c r="D378" s="43"/>
      <c r="E378" s="43"/>
      <c r="F378" s="43"/>
      <c r="G378" s="44"/>
      <c r="H378" s="45"/>
      <c r="I378" s="45"/>
    </row>
    <row r="379" spans="1:9" s="19" customFormat="1" ht="13.5" customHeight="1">
      <c r="A379" s="41"/>
      <c r="B379" s="70" t="s">
        <v>126</v>
      </c>
      <c r="C379" s="41">
        <v>1</v>
      </c>
      <c r="D379" s="43">
        <v>5</v>
      </c>
      <c r="E379" s="43"/>
      <c r="F379" s="43">
        <v>7</v>
      </c>
      <c r="G379" s="44">
        <f t="shared" ref="G379:G382" si="54">F379*D379*C379</f>
        <v>35</v>
      </c>
      <c r="H379" s="45"/>
      <c r="I379" s="45"/>
    </row>
    <row r="380" spans="1:9" s="19" customFormat="1" ht="13.5" customHeight="1">
      <c r="A380" s="41"/>
      <c r="B380" s="70" t="s">
        <v>78</v>
      </c>
      <c r="C380" s="41">
        <v>3</v>
      </c>
      <c r="D380" s="43">
        <v>3</v>
      </c>
      <c r="E380" s="43"/>
      <c r="F380" s="43">
        <v>7</v>
      </c>
      <c r="G380" s="44">
        <f t="shared" si="54"/>
        <v>63</v>
      </c>
      <c r="H380" s="45"/>
      <c r="I380" s="45"/>
    </row>
    <row r="381" spans="1:9" s="19" customFormat="1">
      <c r="A381" s="41"/>
      <c r="B381" s="70" t="s">
        <v>127</v>
      </c>
      <c r="C381" s="41">
        <v>4</v>
      </c>
      <c r="D381" s="43">
        <v>6</v>
      </c>
      <c r="E381" s="43"/>
      <c r="F381" s="43">
        <v>4</v>
      </c>
      <c r="G381" s="44">
        <f t="shared" si="54"/>
        <v>96</v>
      </c>
      <c r="H381" s="45"/>
      <c r="I381" s="45"/>
    </row>
    <row r="382" spans="1:9" s="19" customFormat="1" ht="16.5" customHeight="1">
      <c r="A382" s="41"/>
      <c r="B382" s="70" t="s">
        <v>142</v>
      </c>
      <c r="C382" s="41">
        <v>4</v>
      </c>
      <c r="D382" s="43">
        <v>4</v>
      </c>
      <c r="E382" s="43"/>
      <c r="F382" s="43">
        <v>4</v>
      </c>
      <c r="G382" s="44">
        <f t="shared" si="54"/>
        <v>64</v>
      </c>
      <c r="H382" s="45"/>
      <c r="I382" s="45"/>
    </row>
    <row r="383" spans="1:9" s="19" customFormat="1">
      <c r="A383" s="41"/>
      <c r="B383" s="70"/>
      <c r="C383" s="41"/>
      <c r="D383" s="43"/>
      <c r="E383" s="43"/>
      <c r="F383" s="43"/>
      <c r="G383" s="44">
        <f>SUM(G379:G382)</f>
        <v>258</v>
      </c>
      <c r="H383" s="45" t="s">
        <v>107</v>
      </c>
      <c r="I383" s="45"/>
    </row>
    <row r="384" spans="1:9">
      <c r="A384" s="41"/>
      <c r="B384" s="75" t="s">
        <v>102</v>
      </c>
      <c r="C384" s="74"/>
      <c r="D384" s="78"/>
      <c r="E384" s="78"/>
      <c r="F384" s="78"/>
      <c r="G384" s="40">
        <f>G383/10.76</f>
        <v>23.977695167286246</v>
      </c>
      <c r="H384" s="75" t="s">
        <v>47</v>
      </c>
      <c r="I384" s="45"/>
    </row>
    <row r="385" spans="1:9" s="19" customFormat="1">
      <c r="A385" s="97"/>
      <c r="B385" s="98"/>
      <c r="C385" s="97"/>
      <c r="D385" s="99"/>
      <c r="E385" s="99"/>
      <c r="F385" s="99"/>
      <c r="G385" s="100"/>
      <c r="H385" s="101"/>
      <c r="I385" s="101"/>
    </row>
    <row r="386" spans="1:9" s="19" customFormat="1" ht="15.75">
      <c r="A386" s="76">
        <v>19</v>
      </c>
      <c r="B386" s="96" t="s">
        <v>152</v>
      </c>
      <c r="C386" s="41"/>
      <c r="D386" s="43"/>
      <c r="E386" s="43"/>
      <c r="F386" s="43"/>
      <c r="G386" s="44"/>
      <c r="H386" s="45"/>
      <c r="I386" s="45"/>
    </row>
    <row r="387" spans="1:9" s="19" customFormat="1" ht="15.75">
      <c r="A387" s="102">
        <v>19.100000000000001</v>
      </c>
      <c r="B387" s="68" t="s">
        <v>153</v>
      </c>
      <c r="C387" s="68"/>
      <c r="D387" s="68"/>
      <c r="E387" s="68"/>
      <c r="F387" s="68"/>
      <c r="G387" s="68"/>
      <c r="H387" s="68"/>
      <c r="I387" s="103"/>
    </row>
    <row r="388" spans="1:9" s="19" customFormat="1">
      <c r="A388" s="41"/>
      <c r="B388" s="104" t="s">
        <v>154</v>
      </c>
      <c r="C388" s="105">
        <v>5</v>
      </c>
      <c r="D388" s="106">
        <f>(12.5+17+19.5)/3.281</f>
        <v>14.934471197805546</v>
      </c>
      <c r="E388" s="107"/>
      <c r="F388" s="107">
        <v>3.08</v>
      </c>
      <c r="G388" s="108">
        <f>F388*D388*C388</f>
        <v>229.99085644620544</v>
      </c>
      <c r="H388" s="109"/>
      <c r="I388" s="45" t="s">
        <v>155</v>
      </c>
    </row>
    <row r="389" spans="1:9" s="19" customFormat="1">
      <c r="A389" s="110"/>
      <c r="B389" s="104" t="s">
        <v>156</v>
      </c>
      <c r="C389" s="110">
        <v>4</v>
      </c>
      <c r="D389" s="111">
        <f>(2*(2*1.25+2*2.5+4+2*4.75+2*3.58))/3.281</f>
        <v>17.165498323681803</v>
      </c>
      <c r="E389" s="112"/>
      <c r="F389" s="112">
        <v>2.21</v>
      </c>
      <c r="G389" s="113">
        <f>F389*D389*C389</f>
        <v>151.74300518134714</v>
      </c>
      <c r="H389" s="114"/>
      <c r="I389" s="115" t="s">
        <v>157</v>
      </c>
    </row>
    <row r="390" spans="1:9" s="19" customFormat="1">
      <c r="A390" s="110"/>
      <c r="B390" s="116"/>
      <c r="C390" s="110"/>
      <c r="D390" s="111"/>
      <c r="E390" s="112"/>
      <c r="F390" s="112"/>
      <c r="G390" s="44"/>
      <c r="H390" s="45"/>
      <c r="I390" s="115"/>
    </row>
    <row r="391" spans="1:9" s="19" customFormat="1">
      <c r="A391" s="110"/>
      <c r="B391" s="117" t="s">
        <v>158</v>
      </c>
      <c r="C391" s="110"/>
      <c r="D391" s="111"/>
      <c r="E391" s="112"/>
      <c r="F391" s="112"/>
      <c r="G391" s="40">
        <f>SUM(G388:G390)</f>
        <v>381.73386162755259</v>
      </c>
      <c r="H391" s="75" t="s">
        <v>159</v>
      </c>
      <c r="I391" s="115"/>
    </row>
    <row r="392" spans="1:9" s="19" customFormat="1">
      <c r="A392" s="110"/>
      <c r="B392" s="116"/>
      <c r="C392" s="110"/>
      <c r="D392" s="111"/>
      <c r="E392" s="112"/>
      <c r="F392" s="112"/>
      <c r="G392" s="113"/>
      <c r="H392" s="118"/>
      <c r="I392" s="115"/>
    </row>
    <row r="393" spans="1:9" s="19" customFormat="1">
      <c r="A393" s="74">
        <v>19.2</v>
      </c>
      <c r="B393" s="69" t="s">
        <v>160</v>
      </c>
      <c r="C393" s="69"/>
      <c r="D393" s="69"/>
      <c r="E393" s="69"/>
      <c r="F393" s="69"/>
      <c r="G393" s="69"/>
      <c r="H393" s="69"/>
      <c r="I393" s="45"/>
    </row>
    <row r="394" spans="1:9" s="19" customFormat="1">
      <c r="A394" s="105"/>
      <c r="B394" s="104" t="s">
        <v>161</v>
      </c>
      <c r="C394" s="105">
        <v>10</v>
      </c>
      <c r="D394" s="106">
        <f>41.5/3.281</f>
        <v>12.648582749161841</v>
      </c>
      <c r="E394" s="107"/>
      <c r="F394" s="107">
        <v>2.21</v>
      </c>
      <c r="G394" s="108">
        <f>F394*D394*C394</f>
        <v>279.53367875647666</v>
      </c>
      <c r="H394" s="109"/>
      <c r="I394" s="109" t="s">
        <v>157</v>
      </c>
    </row>
    <row r="395" spans="1:9" s="19" customFormat="1">
      <c r="A395" s="41"/>
      <c r="B395" s="75" t="s">
        <v>162</v>
      </c>
      <c r="C395" s="41">
        <v>50</v>
      </c>
      <c r="D395" s="119">
        <f>35/1000</f>
        <v>3.5000000000000003E-2</v>
      </c>
      <c r="E395" s="43"/>
      <c r="F395" s="43">
        <v>1.6</v>
      </c>
      <c r="G395" s="44">
        <f>F395*D395*C395</f>
        <v>2.8000000000000003</v>
      </c>
      <c r="H395" s="45"/>
      <c r="I395" s="45" t="s">
        <v>163</v>
      </c>
    </row>
    <row r="396" spans="1:9" s="19" customFormat="1">
      <c r="A396" s="41"/>
      <c r="B396" s="75"/>
      <c r="C396" s="41"/>
      <c r="D396" s="119"/>
      <c r="E396" s="43"/>
      <c r="F396" s="43"/>
      <c r="G396" s="44"/>
      <c r="H396" s="45"/>
      <c r="I396" s="45"/>
    </row>
    <row r="397" spans="1:9" s="19" customFormat="1" ht="30">
      <c r="A397" s="41"/>
      <c r="B397" s="120" t="s">
        <v>164</v>
      </c>
      <c r="C397" s="41"/>
      <c r="D397" s="119"/>
      <c r="E397" s="43"/>
      <c r="F397" s="43"/>
      <c r="G397" s="40">
        <f>SUM(G394:G396)</f>
        <v>282.33367875647667</v>
      </c>
      <c r="H397" s="75" t="s">
        <v>159</v>
      </c>
      <c r="I397" s="45"/>
    </row>
    <row r="398" spans="1:9" s="19" customFormat="1">
      <c r="A398" s="41"/>
      <c r="B398" s="75"/>
      <c r="C398" s="41"/>
      <c r="D398" s="119"/>
      <c r="E398" s="43"/>
      <c r="F398" s="43"/>
      <c r="G398" s="44"/>
      <c r="H398" s="45"/>
      <c r="I398" s="45"/>
    </row>
    <row r="399" spans="1:9" s="19" customFormat="1" ht="26.25">
      <c r="A399" s="74">
        <v>19.3</v>
      </c>
      <c r="B399" s="121" t="s">
        <v>165</v>
      </c>
      <c r="C399" s="41"/>
      <c r="D399" s="119"/>
      <c r="E399" s="43"/>
      <c r="F399" s="43"/>
      <c r="G399" s="44"/>
      <c r="H399" s="45"/>
      <c r="I399" s="45"/>
    </row>
    <row r="400" spans="1:9" s="19" customFormat="1">
      <c r="A400" s="41"/>
      <c r="B400" s="122" t="s">
        <v>166</v>
      </c>
      <c r="C400" s="41">
        <v>1</v>
      </c>
      <c r="D400" s="119">
        <f>31/3.281</f>
        <v>9.4483389210606514</v>
      </c>
      <c r="E400" s="119">
        <f>36.5/3.281</f>
        <v>11.124657116732703</v>
      </c>
      <c r="F400" s="43"/>
      <c r="G400" s="44">
        <f>E400*D400*C400</f>
        <v>105.10953081947996</v>
      </c>
      <c r="H400" s="45"/>
      <c r="I400" s="45"/>
    </row>
    <row r="401" spans="1:9" s="19" customFormat="1">
      <c r="A401" s="41"/>
      <c r="B401" s="70"/>
      <c r="C401" s="41"/>
      <c r="D401" s="119"/>
      <c r="E401" s="43"/>
      <c r="F401" s="43"/>
      <c r="G401" s="44"/>
      <c r="H401" s="45"/>
      <c r="I401" s="45"/>
    </row>
    <row r="402" spans="1:9" s="19" customFormat="1">
      <c r="A402" s="41"/>
      <c r="B402" s="123" t="s">
        <v>167</v>
      </c>
      <c r="C402" s="74"/>
      <c r="D402" s="124"/>
      <c r="E402" s="78"/>
      <c r="F402" s="78"/>
      <c r="G402" s="40">
        <f>G400</f>
        <v>105.10953081947996</v>
      </c>
      <c r="H402" s="75" t="s">
        <v>168</v>
      </c>
      <c r="I402" s="45"/>
    </row>
    <row r="403" spans="1:9" s="19" customFormat="1">
      <c r="A403" s="41"/>
      <c r="B403" s="70"/>
      <c r="C403" s="41"/>
      <c r="D403" s="119"/>
      <c r="E403" s="43"/>
      <c r="F403" s="43"/>
      <c r="G403" s="44"/>
      <c r="H403" s="45"/>
      <c r="I403" s="45"/>
    </row>
    <row r="404" spans="1:9" s="19" customFormat="1" ht="26.25">
      <c r="A404" s="74">
        <v>19.399999999999999</v>
      </c>
      <c r="B404" s="125" t="s">
        <v>169</v>
      </c>
      <c r="C404" s="41"/>
      <c r="D404" s="119"/>
      <c r="E404" s="43"/>
      <c r="F404" s="43"/>
      <c r="G404" s="44"/>
      <c r="H404" s="45"/>
      <c r="I404" s="45"/>
    </row>
    <row r="405" spans="1:9" s="19" customFormat="1">
      <c r="A405" s="41"/>
      <c r="B405" s="122" t="s">
        <v>170</v>
      </c>
      <c r="C405" s="41">
        <v>1</v>
      </c>
      <c r="D405" s="119">
        <f>31/3.281</f>
        <v>9.4483389210606514</v>
      </c>
      <c r="E405" s="43"/>
      <c r="F405" s="43"/>
      <c r="G405" s="44">
        <f>D405*C405</f>
        <v>9.4483389210606514</v>
      </c>
      <c r="H405" s="45"/>
      <c r="I405" s="45"/>
    </row>
    <row r="406" spans="1:9" s="19" customFormat="1">
      <c r="A406" s="41"/>
      <c r="B406" s="70"/>
      <c r="C406" s="41"/>
      <c r="D406" s="119"/>
      <c r="E406" s="43"/>
      <c r="F406" s="43"/>
      <c r="G406" s="44"/>
      <c r="H406" s="45"/>
      <c r="I406" s="45"/>
    </row>
    <row r="407" spans="1:9" s="19" customFormat="1">
      <c r="A407" s="41"/>
      <c r="B407" s="75" t="s">
        <v>171</v>
      </c>
      <c r="C407" s="74"/>
      <c r="D407" s="124"/>
      <c r="E407" s="78"/>
      <c r="F407" s="78"/>
      <c r="G407" s="40">
        <f>G405</f>
        <v>9.4483389210606514</v>
      </c>
      <c r="H407" s="75" t="s">
        <v>172</v>
      </c>
      <c r="I407" s="45"/>
    </row>
    <row r="408" spans="1:9" s="19" customFormat="1">
      <c r="A408" s="97"/>
      <c r="B408" s="98"/>
      <c r="C408" s="97"/>
      <c r="D408" s="99"/>
      <c r="E408" s="99"/>
      <c r="F408" s="99"/>
      <c r="G408" s="100"/>
      <c r="H408" s="101"/>
      <c r="I408" s="101"/>
    </row>
    <row r="409" spans="1:9" s="19" customFormat="1">
      <c r="A409" s="18"/>
      <c r="B409" s="27"/>
      <c r="C409" s="18"/>
      <c r="D409" s="28"/>
      <c r="E409" s="28"/>
      <c r="F409" s="28"/>
      <c r="G409" s="29"/>
      <c r="H409" s="30"/>
      <c r="I409" s="30"/>
    </row>
    <row r="410" spans="1:9" s="19" customFormat="1">
      <c r="A410" s="18"/>
      <c r="B410" s="27"/>
      <c r="C410" s="18"/>
      <c r="D410" s="28"/>
      <c r="E410" s="28"/>
      <c r="F410" s="28"/>
      <c r="G410" s="29"/>
      <c r="H410" s="30"/>
      <c r="I410" s="30"/>
    </row>
    <row r="411" spans="1:9" s="19" customFormat="1">
      <c r="A411" s="18"/>
      <c r="B411" s="27"/>
      <c r="C411" s="18"/>
      <c r="D411" s="28"/>
      <c r="E411" s="28"/>
      <c r="F411" s="28"/>
      <c r="G411" s="29"/>
      <c r="H411" s="30"/>
      <c r="I411" s="30"/>
    </row>
    <row r="412" spans="1:9" s="19" customFormat="1">
      <c r="A412" s="18"/>
      <c r="B412" s="27"/>
      <c r="C412" s="18"/>
      <c r="D412" s="28"/>
      <c r="E412" s="28"/>
      <c r="F412" s="28"/>
      <c r="G412" s="29"/>
      <c r="H412" s="30"/>
      <c r="I412" s="30"/>
    </row>
    <row r="413" spans="1:9" s="19" customFormat="1">
      <c r="A413" s="18"/>
      <c r="B413" s="27"/>
      <c r="C413" s="18"/>
      <c r="D413" s="28"/>
      <c r="E413" s="28"/>
      <c r="F413" s="28"/>
      <c r="G413" s="29"/>
      <c r="H413" s="30"/>
      <c r="I413" s="30"/>
    </row>
    <row r="414" spans="1:9" s="19" customFormat="1">
      <c r="A414" s="18"/>
      <c r="B414" s="27"/>
      <c r="C414" s="18"/>
      <c r="D414" s="28"/>
      <c r="E414" s="28"/>
      <c r="F414" s="28"/>
      <c r="G414" s="29"/>
      <c r="H414" s="30"/>
      <c r="I414" s="30"/>
    </row>
    <row r="415" spans="1:9" s="19" customFormat="1">
      <c r="A415" s="18"/>
      <c r="B415" s="27"/>
      <c r="C415" s="18"/>
      <c r="D415" s="28"/>
      <c r="E415" s="28"/>
      <c r="F415" s="28"/>
      <c r="G415" s="29"/>
      <c r="H415" s="30"/>
      <c r="I415" s="30"/>
    </row>
    <row r="416" spans="1:9" s="19" customFormat="1">
      <c r="A416" s="18"/>
      <c r="B416" s="27"/>
      <c r="C416" s="18"/>
      <c r="D416" s="28"/>
      <c r="E416" s="28"/>
      <c r="F416" s="28"/>
      <c r="G416" s="29"/>
      <c r="H416" s="30"/>
      <c r="I416" s="30"/>
    </row>
    <row r="417" spans="1:9" s="19" customFormat="1">
      <c r="A417" s="18"/>
      <c r="B417" s="27"/>
      <c r="C417" s="18"/>
      <c r="D417" s="28"/>
      <c r="E417" s="28"/>
      <c r="F417" s="28"/>
      <c r="G417" s="29"/>
      <c r="H417" s="30"/>
      <c r="I417" s="30"/>
    </row>
  </sheetData>
  <mergeCells count="4">
    <mergeCell ref="I103:I104"/>
    <mergeCell ref="A1:I1"/>
    <mergeCell ref="A4:B4"/>
    <mergeCell ref="A3:I3"/>
  </mergeCells>
  <printOptions horizontalCentered="1"/>
  <pageMargins left="0.75" right="0.35" top="0.75" bottom="0.75" header="0.3" footer="0.3"/>
  <pageSetup paperSize="9" scale="80" orientation="portrait" r:id="rId1"/>
  <headerFooter>
    <oddFooter>&amp;R&amp;P</oddFooter>
  </headerFooter>
  <ignoredErrors>
    <ignoredError sqref="E2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view="pageBreakPreview" topLeftCell="A19" zoomScaleSheetLayoutView="100" workbookViewId="0">
      <selection activeCell="F41" sqref="F41"/>
    </sheetView>
  </sheetViews>
  <sheetFormatPr defaultRowHeight="15"/>
  <cols>
    <col min="1" max="1" width="6.140625" style="1" customWidth="1"/>
    <col min="2" max="2" width="34.85546875" style="3" customWidth="1"/>
    <col min="3" max="3" width="7.85546875" style="3" customWidth="1"/>
    <col min="4" max="4" width="9.140625" style="4"/>
    <col min="5" max="5" width="12.7109375" style="4" customWidth="1"/>
    <col min="6" max="6" width="22.85546875" style="4" customWidth="1"/>
    <col min="7" max="7" width="9.140625" style="2"/>
    <col min="8" max="8" width="12.7109375" style="2" bestFit="1" customWidth="1"/>
    <col min="9" max="10" width="9.140625" style="2"/>
    <col min="11" max="11" width="10.140625" style="2" bestFit="1" customWidth="1"/>
    <col min="12" max="13" width="9.140625" style="2"/>
    <col min="14" max="14" width="10.140625" style="2" bestFit="1" customWidth="1"/>
    <col min="15" max="16384" width="9.140625" style="2"/>
  </cols>
  <sheetData>
    <row r="1" spans="1:13" ht="23.25" customHeight="1">
      <c r="A1" s="271" t="s">
        <v>42</v>
      </c>
      <c r="B1" s="271"/>
      <c r="C1" s="271"/>
      <c r="D1" s="271"/>
      <c r="E1" s="271"/>
      <c r="F1" s="271"/>
    </row>
    <row r="2" spans="1:13">
      <c r="A2" s="11"/>
      <c r="B2" s="12"/>
      <c r="C2" s="12"/>
      <c r="D2" s="13"/>
      <c r="E2" s="13"/>
      <c r="F2" s="13"/>
    </row>
    <row r="3" spans="1:13">
      <c r="A3" s="273" t="s">
        <v>173</v>
      </c>
      <c r="B3" s="273"/>
      <c r="C3" s="273"/>
      <c r="D3" s="273"/>
      <c r="E3" s="273"/>
      <c r="F3" s="273"/>
    </row>
    <row r="4" spans="1:13">
      <c r="A4" s="270" t="s">
        <v>174</v>
      </c>
      <c r="B4" s="270"/>
      <c r="C4" s="12"/>
      <c r="D4" s="13"/>
      <c r="E4" s="13"/>
      <c r="F4" s="13"/>
    </row>
    <row r="5" spans="1:13">
      <c r="A5" s="14" t="s">
        <v>1</v>
      </c>
      <c r="B5" s="14" t="s">
        <v>43</v>
      </c>
      <c r="C5" s="14" t="s">
        <v>8</v>
      </c>
      <c r="D5" s="14" t="s">
        <v>7</v>
      </c>
      <c r="E5" s="14" t="s">
        <v>44</v>
      </c>
      <c r="F5" s="14" t="s">
        <v>45</v>
      </c>
    </row>
    <row r="6" spans="1:13">
      <c r="A6" s="8" t="s">
        <v>48</v>
      </c>
      <c r="B6" s="15" t="s">
        <v>49</v>
      </c>
      <c r="C6" s="8"/>
      <c r="D6" s="8"/>
      <c r="E6" s="8"/>
      <c r="F6" s="8"/>
    </row>
    <row r="7" spans="1:13">
      <c r="A7" s="5">
        <f>'Quantity Estimate'!A8</f>
        <v>1</v>
      </c>
      <c r="B7" s="16" t="str">
        <f>'Quantity Estimate'!B8</f>
        <v>Site Clearance Work</v>
      </c>
      <c r="C7" s="6" t="str">
        <f>'Quantity Estimate'!H11</f>
        <v>Sq.m.</v>
      </c>
      <c r="D7" s="7">
        <f>'Quantity Estimate'!G11</f>
        <v>99.228837209302327</v>
      </c>
      <c r="E7" s="9" t="e">
        <f>#REF!</f>
        <v>#REF!</v>
      </c>
      <c r="F7" s="10" t="e">
        <f>E7*D7</f>
        <v>#REF!</v>
      </c>
    </row>
    <row r="8" spans="1:13">
      <c r="A8" s="5">
        <f>'Quantity Estimate'!A13</f>
        <v>2</v>
      </c>
      <c r="B8" s="16" t="str">
        <f>'Quantity Estimate'!B13</f>
        <v>Earthwork in Excavation</v>
      </c>
      <c r="C8" s="6" t="str">
        <f>'Quantity Estimate'!H22</f>
        <v>cu.m.</v>
      </c>
      <c r="D8" s="7">
        <f>'Quantity Estimate'!G22</f>
        <v>67.486447704081627</v>
      </c>
      <c r="E8" s="9" t="e">
        <f>#REF!</f>
        <v>#REF!</v>
      </c>
      <c r="F8" s="26" t="e">
        <f t="shared" ref="F8:F30" si="0">E8*D8</f>
        <v>#REF!</v>
      </c>
    </row>
    <row r="9" spans="1:13">
      <c r="A9" s="5">
        <f>'Quantity Estimate'!A24</f>
        <v>3</v>
      </c>
      <c r="B9" s="16" t="str">
        <f>'Quantity Estimate'!B24</f>
        <v>Earthwork in Filling</v>
      </c>
      <c r="C9" s="6" t="str">
        <f>'Quantity Estimate'!H28</f>
        <v>cu.m.</v>
      </c>
      <c r="D9" s="7">
        <f>'Quantity Estimate'!G28</f>
        <v>40.491868622448976</v>
      </c>
      <c r="E9" s="9" t="e">
        <f>#REF!</f>
        <v>#REF!</v>
      </c>
      <c r="F9" s="26" t="e">
        <f t="shared" si="0"/>
        <v>#REF!</v>
      </c>
    </row>
    <row r="10" spans="1:13">
      <c r="A10" s="5">
        <f>'Quantity Estimate'!A30</f>
        <v>4</v>
      </c>
      <c r="B10" s="16" t="str">
        <f>'Quantity Estimate'!B30</f>
        <v>Flat Brick Soling</v>
      </c>
      <c r="C10" s="6" t="str">
        <f>'Quantity Estimate'!H39</f>
        <v xml:space="preserve">Sq.m. </v>
      </c>
      <c r="D10" s="7">
        <f>'Quantity Estimate'!G39</f>
        <v>56.824349442379187</v>
      </c>
      <c r="E10" s="9" t="e">
        <f>#REF!</f>
        <v>#REF!</v>
      </c>
      <c r="F10" s="26" t="e">
        <f t="shared" si="0"/>
        <v>#REF!</v>
      </c>
    </row>
    <row r="11" spans="1:13">
      <c r="A11" s="5">
        <f>'Quantity Estimate'!A41</f>
        <v>5</v>
      </c>
      <c r="B11" s="16" t="str">
        <f>'Quantity Estimate'!B41</f>
        <v>Lean Concrete Base (PCC 1:3:6)</v>
      </c>
      <c r="C11" s="6" t="str">
        <f>'Quantity Estimate'!H50</f>
        <v>cu.m.</v>
      </c>
      <c r="D11" s="7">
        <f>'Quantity Estimate'!G50</f>
        <v>4.3288020390824133</v>
      </c>
      <c r="E11" s="9" t="e">
        <f>#REF!</f>
        <v>#REF!</v>
      </c>
      <c r="F11" s="26" t="e">
        <f t="shared" si="0"/>
        <v>#REF!</v>
      </c>
    </row>
    <row r="12" spans="1:13">
      <c r="A12" s="5">
        <f>'Quantity Estimate'!A52</f>
        <v>6</v>
      </c>
      <c r="B12" s="16" t="str">
        <f>'Quantity Estimate'!B52</f>
        <v>PCC (1:1.5:3) for RCC</v>
      </c>
      <c r="C12" s="6" t="str">
        <f>'Quantity Estimate'!H97</f>
        <v>cu.m.</v>
      </c>
      <c r="D12" s="7">
        <f>'Quantity Estimate'!G97</f>
        <v>24.357223796033999</v>
      </c>
      <c r="E12" s="9" t="e">
        <f>#REF!</f>
        <v>#REF!</v>
      </c>
      <c r="F12" s="26" t="e">
        <f t="shared" si="0"/>
        <v>#REF!</v>
      </c>
      <c r="M12" s="2">
        <f>150*35.23</f>
        <v>5284.4999999999991</v>
      </c>
    </row>
    <row r="13" spans="1:13">
      <c r="A13" s="5">
        <f>'Quantity Estimate'!A99</f>
        <v>7</v>
      </c>
      <c r="B13" s="16" t="str">
        <f>'Quantity Estimate'!B99</f>
        <v>Reinforcment</v>
      </c>
      <c r="C13" s="6" t="s">
        <v>118</v>
      </c>
      <c r="D13" s="7">
        <v>1.62</v>
      </c>
      <c r="E13" s="9">
        <v>72000</v>
      </c>
      <c r="F13" s="26">
        <f t="shared" si="0"/>
        <v>116640.00000000001</v>
      </c>
    </row>
    <row r="14" spans="1:13">
      <c r="A14" s="5">
        <f>'Quantity Estimate'!A207</f>
        <v>8</v>
      </c>
      <c r="B14" s="16" t="str">
        <f>'Quantity Estimate'!B207</f>
        <v>Formwork</v>
      </c>
      <c r="C14" s="6" t="str">
        <f>'Quantity Estimate'!H243</f>
        <v>Sq.m.</v>
      </c>
      <c r="D14" s="7">
        <f>'Quantity Estimate'!G243</f>
        <v>186.74721189591077</v>
      </c>
      <c r="E14" s="9">
        <v>794.04</v>
      </c>
      <c r="F14" s="26">
        <f t="shared" si="0"/>
        <v>148284.75613382898</v>
      </c>
    </row>
    <row r="15" spans="1:13">
      <c r="A15" s="5">
        <f>'Quantity Estimate'!A245</f>
        <v>9</v>
      </c>
      <c r="B15" s="16" t="str">
        <f>'Quantity Estimate'!B245</f>
        <v>Brickwork in 1:6 c/s mortar</v>
      </c>
      <c r="C15" s="6"/>
      <c r="D15" s="7"/>
      <c r="E15" s="9"/>
      <c r="F15" s="26">
        <f t="shared" si="0"/>
        <v>0</v>
      </c>
    </row>
    <row r="16" spans="1:13">
      <c r="A16" s="5">
        <f>'Quantity Estimate'!A246</f>
        <v>9.1</v>
      </c>
      <c r="B16" s="16" t="str">
        <f>'Quantity Estimate'!B246</f>
        <v>Upto Plinth</v>
      </c>
      <c r="C16" s="6" t="str">
        <f>'Quantity Estimate'!H259</f>
        <v>cu.m.</v>
      </c>
      <c r="D16" s="7">
        <f>'Quantity Estimate'!G259</f>
        <v>14.617103399433425</v>
      </c>
      <c r="E16" s="9" t="e">
        <f>#REF!</f>
        <v>#REF!</v>
      </c>
      <c r="F16" s="26" t="e">
        <f t="shared" si="0"/>
        <v>#REF!</v>
      </c>
    </row>
    <row r="17" spans="1:14">
      <c r="A17" s="5">
        <f>'Quantity Estimate'!A261</f>
        <v>9.1999999999999993</v>
      </c>
      <c r="B17" s="16" t="str">
        <f>'Quantity Estimate'!B261</f>
        <v>Super-Structure</v>
      </c>
      <c r="C17" s="6" t="str">
        <f>'Quantity Estimate'!H272</f>
        <v>cu.m.</v>
      </c>
      <c r="D17" s="7">
        <f>'Quantity Estimate'!G272</f>
        <v>23.788407932011339</v>
      </c>
      <c r="E17" s="9" t="e">
        <f>#REF!</f>
        <v>#REF!</v>
      </c>
      <c r="F17" s="26" t="e">
        <f t="shared" si="0"/>
        <v>#REF!</v>
      </c>
    </row>
    <row r="18" spans="1:14" s="55" customFormat="1">
      <c r="A18" s="41">
        <f>'Quantity Estimate'!A274</f>
        <v>10</v>
      </c>
      <c r="B18" s="53" t="str">
        <f>'Quantity Estimate'!B274</f>
        <v>Woodwork for  Chaukhat</v>
      </c>
      <c r="C18" s="45" t="str">
        <f>'Quantity Estimate'!H283</f>
        <v>cu.m.</v>
      </c>
      <c r="D18" s="56">
        <f>'Quantity Estimate'!G283</f>
        <v>0.12620396600566575</v>
      </c>
      <c r="E18" s="54" t="e">
        <f>#REF!</f>
        <v>#REF!</v>
      </c>
      <c r="F18" s="26" t="e">
        <f t="shared" si="0"/>
        <v>#REF!</v>
      </c>
    </row>
    <row r="19" spans="1:14" s="55" customFormat="1">
      <c r="A19" s="41">
        <f>'Quantity Estimate'!A285</f>
        <v>11</v>
      </c>
      <c r="B19" s="53" t="str">
        <f>'Quantity Estimate'!B285</f>
        <v>Woodwork for Shutter</v>
      </c>
      <c r="C19" s="45" t="str">
        <f>'Quantity Estimate'!H291</f>
        <v>Sq.m.</v>
      </c>
      <c r="D19" s="44">
        <f>'Quantity Estimate'!G291</f>
        <v>23.977695167286246</v>
      </c>
      <c r="E19" s="54" t="e">
        <f>#REF!</f>
        <v>#REF!</v>
      </c>
      <c r="F19" s="26" t="e">
        <f t="shared" si="0"/>
        <v>#REF!</v>
      </c>
    </row>
    <row r="20" spans="1:14" s="55" customFormat="1" ht="30">
      <c r="A20" s="41">
        <v>12</v>
      </c>
      <c r="B20" s="53" t="str">
        <f>'Quantity Estimate'!B293</f>
        <v>Grill Work in Windows and Ventilations</v>
      </c>
      <c r="C20" s="45" t="str">
        <f>'Quantity Estimate'!H297</f>
        <v>Sq.m.</v>
      </c>
      <c r="D20" s="44">
        <f>'Quantity Estimate'!G297</f>
        <v>14.869888475836431</v>
      </c>
      <c r="E20" s="54" t="e">
        <f>#REF!</f>
        <v>#REF!</v>
      </c>
      <c r="F20" s="26" t="e">
        <f t="shared" si="0"/>
        <v>#REF!</v>
      </c>
    </row>
    <row r="21" spans="1:14" s="55" customFormat="1">
      <c r="A21" s="41">
        <v>13</v>
      </c>
      <c r="B21" s="53" t="str">
        <f>'Quantity Estimate'!B299</f>
        <v>Making Iron Gate</v>
      </c>
      <c r="C21" s="45" t="s">
        <v>137</v>
      </c>
      <c r="D21" s="44">
        <f>'Quantity Estimate'!G302</f>
        <v>3.2527881040892193</v>
      </c>
      <c r="E21" s="54" t="e">
        <f>#REF!</f>
        <v>#REF!</v>
      </c>
      <c r="F21" s="26" t="e">
        <f t="shared" si="0"/>
        <v>#REF!</v>
      </c>
    </row>
    <row r="22" spans="1:14">
      <c r="A22" s="5">
        <v>14</v>
      </c>
      <c r="B22" s="16" t="str">
        <f>'Quantity Estimate'!B304</f>
        <v>Floor Finish Works</v>
      </c>
      <c r="C22" s="6"/>
      <c r="D22" s="7"/>
      <c r="E22" s="9"/>
      <c r="F22" s="26">
        <f t="shared" si="0"/>
        <v>0</v>
      </c>
    </row>
    <row r="23" spans="1:14">
      <c r="A23" s="5">
        <v>14.1</v>
      </c>
      <c r="B23" s="16" t="str">
        <f>'Quantity Estimate'!B305</f>
        <v>Earth Filling in Ground Floor</v>
      </c>
      <c r="C23" s="6" t="str">
        <f>'Quantity Estimate'!H311</f>
        <v>cu.m.</v>
      </c>
      <c r="D23" s="7">
        <f>'Quantity Estimate'!G311</f>
        <v>64.995751911639758</v>
      </c>
      <c r="E23" s="9" t="e">
        <f>#REF!</f>
        <v>#REF!</v>
      </c>
      <c r="F23" s="26" t="e">
        <f t="shared" si="0"/>
        <v>#REF!</v>
      </c>
    </row>
    <row r="24" spans="1:14">
      <c r="A24" s="5">
        <v>14.2</v>
      </c>
      <c r="B24" s="16" t="str">
        <f>'Quantity Estimate'!B313</f>
        <v>Flat Brick Soling in Ground Floor</v>
      </c>
      <c r="C24" s="6" t="str">
        <f>'Quantity Estimate'!H319</f>
        <v>Sq.m.</v>
      </c>
      <c r="D24" s="7">
        <f>'Quantity Estimate'!G319</f>
        <v>71.096654275092945</v>
      </c>
      <c r="E24" s="9">
        <v>434.5</v>
      </c>
      <c r="F24" s="26">
        <f t="shared" si="0"/>
        <v>30891.496282527885</v>
      </c>
    </row>
    <row r="25" spans="1:14" ht="30">
      <c r="A25" s="5">
        <v>14.3</v>
      </c>
      <c r="B25" s="16" t="str">
        <f>'Quantity Estimate'!B321</f>
        <v>PCC 1:2:4 in Ground Floor with cemet rubbing</v>
      </c>
      <c r="C25" s="6" t="str">
        <f>'Quantity Estimate'!H327</f>
        <v>cu.m.</v>
      </c>
      <c r="D25" s="7">
        <f>'Quantity Estimate'!G327</f>
        <v>5.4163126593033128</v>
      </c>
      <c r="E25" s="9" t="e">
        <f>#REF!</f>
        <v>#REF!</v>
      </c>
      <c r="F25" s="26" t="e">
        <f t="shared" si="0"/>
        <v>#REF!</v>
      </c>
    </row>
    <row r="26" spans="1:14">
      <c r="A26" s="5">
        <v>14.4</v>
      </c>
      <c r="B26" s="16" t="str">
        <f>'Quantity Estimate'!B329</f>
        <v>38mm thick screed + punning</v>
      </c>
      <c r="C26" s="6" t="str">
        <f>'Quantity Estimate'!H335</f>
        <v>Sq.m.</v>
      </c>
      <c r="D26" s="7">
        <f>'Quantity Estimate'!G335</f>
        <v>83.838289962825286</v>
      </c>
      <c r="E26" s="9" t="e">
        <f>#REF!</f>
        <v>#REF!</v>
      </c>
      <c r="F26" s="26" t="e">
        <f t="shared" si="0"/>
        <v>#REF!</v>
      </c>
      <c r="N26" s="17"/>
    </row>
    <row r="27" spans="1:14" ht="30">
      <c r="A27" s="5">
        <v>15</v>
      </c>
      <c r="B27" s="16" t="str">
        <f>'Quantity Estimate'!B338</f>
        <v>Plaster Work in 1:4 c/s Mortar in Walls</v>
      </c>
      <c r="C27" s="6" t="str">
        <f>'Quantity Estimate'!H361</f>
        <v>Sq.m.</v>
      </c>
      <c r="D27" s="7">
        <f>'Quantity Estimate'!G361</f>
        <v>287.65074349442381</v>
      </c>
      <c r="E27" s="9" t="e">
        <f>#REF!</f>
        <v>#REF!</v>
      </c>
      <c r="F27" s="26" t="e">
        <f t="shared" si="0"/>
        <v>#REF!</v>
      </c>
    </row>
    <row r="28" spans="1:14" ht="30">
      <c r="A28" s="5">
        <v>16</v>
      </c>
      <c r="B28" s="16" t="str">
        <f>'Quantity Estimate'!B363</f>
        <v>Plaster Work in 1:3 c/s Mortar in Ceiling</v>
      </c>
      <c r="C28" s="6" t="str">
        <f>'Quantity Estimate'!H369</f>
        <v>Sq.m.</v>
      </c>
      <c r="D28" s="7">
        <f>'Quantity Estimate'!G369</f>
        <v>72.955390334572499</v>
      </c>
      <c r="E28" s="9" t="e">
        <f>#REF!</f>
        <v>#REF!</v>
      </c>
      <c r="F28" s="26" t="e">
        <f t="shared" si="0"/>
        <v>#REF!</v>
      </c>
    </row>
    <row r="29" spans="1:14">
      <c r="A29" s="5">
        <v>17</v>
      </c>
      <c r="B29" s="16" t="str">
        <f>'Quantity Estimate'!B371</f>
        <v>Two Coat Distemper Paint on Wall</v>
      </c>
      <c r="C29" s="6" t="str">
        <f>'Quantity Estimate'!H375</f>
        <v>Sq.m.</v>
      </c>
      <c r="D29" s="7">
        <f>'Quantity Estimate'!G375</f>
        <v>360.60613382899629</v>
      </c>
      <c r="E29" s="9" t="e">
        <f>#REF!</f>
        <v>#REF!</v>
      </c>
      <c r="F29" s="26" t="e">
        <f t="shared" si="0"/>
        <v>#REF!</v>
      </c>
    </row>
    <row r="30" spans="1:14" ht="30">
      <c r="A30" s="5">
        <v>18</v>
      </c>
      <c r="B30" s="16" t="str">
        <f>'Quantity Estimate'!B377</f>
        <v>Two Coat Enamel Paint on Doors and Windows</v>
      </c>
      <c r="C30" s="6" t="str">
        <f>'Quantity Estimate'!H384</f>
        <v>Sq.m.</v>
      </c>
      <c r="D30" s="7">
        <f>'Quantity Estimate'!G384</f>
        <v>23.977695167286246</v>
      </c>
      <c r="E30" s="9" t="e">
        <f>#REF!</f>
        <v>#REF!</v>
      </c>
      <c r="F30" s="26" t="e">
        <f t="shared" si="0"/>
        <v>#REF!</v>
      </c>
    </row>
    <row r="31" spans="1:14" s="20" customFormat="1">
      <c r="A31" s="21">
        <v>19</v>
      </c>
      <c r="B31" s="16" t="s">
        <v>152</v>
      </c>
      <c r="C31" s="22"/>
      <c r="D31" s="23"/>
      <c r="E31" s="9"/>
      <c r="F31" s="26">
        <v>0</v>
      </c>
    </row>
    <row r="32" spans="1:14" s="20" customFormat="1" ht="30">
      <c r="A32" s="21">
        <v>19.100000000000001</v>
      </c>
      <c r="B32" s="16" t="s">
        <v>153</v>
      </c>
      <c r="C32" s="22" t="s">
        <v>119</v>
      </c>
      <c r="D32" s="23">
        <f>'Quantity Estimate'!G391</f>
        <v>381.73386162755259</v>
      </c>
      <c r="E32" s="9">
        <v>252.20742837883381</v>
      </c>
      <c r="F32" s="26">
        <v>96276.11</v>
      </c>
      <c r="K32" s="17"/>
    </row>
    <row r="33" spans="1:10" s="20" customFormat="1" ht="30">
      <c r="A33" s="21">
        <v>19.2</v>
      </c>
      <c r="B33" s="16" t="s">
        <v>160</v>
      </c>
      <c r="C33" s="22" t="s">
        <v>119</v>
      </c>
      <c r="D33" s="23">
        <f>'Quantity Estimate'!G397</f>
        <v>282.33367875647667</v>
      </c>
      <c r="E33" s="9">
        <v>240.6150105596621</v>
      </c>
      <c r="F33" s="26">
        <v>67933.72</v>
      </c>
    </row>
    <row r="34" spans="1:10" s="20" customFormat="1" ht="30">
      <c r="A34" s="21">
        <v>19.3</v>
      </c>
      <c r="B34" s="16" t="s">
        <v>165</v>
      </c>
      <c r="C34" s="22" t="s">
        <v>176</v>
      </c>
      <c r="D34" s="23">
        <f>'Quantity Estimate'!G402</f>
        <v>105.10953081947996</v>
      </c>
      <c r="E34" s="9">
        <v>997.2645</v>
      </c>
      <c r="F34" s="26">
        <v>107329.06</v>
      </c>
    </row>
    <row r="35" spans="1:10" s="20" customFormat="1" ht="45">
      <c r="A35" s="21">
        <v>19.399999999999999</v>
      </c>
      <c r="B35" s="16" t="s">
        <v>169</v>
      </c>
      <c r="C35" s="22" t="s">
        <v>172</v>
      </c>
      <c r="D35" s="23">
        <f>'Quantity Estimate'!G407</f>
        <v>9.4483389210606514</v>
      </c>
      <c r="E35" s="9">
        <v>1142.5539999999999</v>
      </c>
      <c r="F35" s="26">
        <v>14538.74</v>
      </c>
    </row>
    <row r="36" spans="1:10" s="20" customFormat="1">
      <c r="A36" s="21"/>
      <c r="B36" s="16"/>
      <c r="C36" s="22"/>
      <c r="D36" s="23"/>
      <c r="E36" s="9"/>
      <c r="F36" s="26"/>
    </row>
    <row r="37" spans="1:10" s="20" customFormat="1">
      <c r="A37" s="21"/>
      <c r="B37" s="24" t="s">
        <v>51</v>
      </c>
      <c r="C37" s="24"/>
      <c r="D37" s="25"/>
      <c r="E37" s="32"/>
      <c r="F37" s="31" t="e">
        <f>SUM(F7:F35)</f>
        <v>#REF!</v>
      </c>
      <c r="H37" s="17"/>
    </row>
    <row r="38" spans="1:10" s="20" customFormat="1">
      <c r="C38" s="24"/>
      <c r="D38" s="25"/>
      <c r="E38" s="32"/>
      <c r="F38" s="31"/>
      <c r="H38" s="17"/>
    </row>
    <row r="39" spans="1:10" s="20" customFormat="1">
      <c r="A39" s="21" t="s">
        <v>50</v>
      </c>
      <c r="B39" s="24" t="s">
        <v>122</v>
      </c>
      <c r="C39" s="24"/>
      <c r="D39" s="25"/>
      <c r="E39" s="32"/>
      <c r="F39" s="31">
        <v>35000</v>
      </c>
    </row>
    <row r="40" spans="1:10" s="20" customFormat="1">
      <c r="A40" s="47"/>
      <c r="B40" s="48" t="s">
        <v>117</v>
      </c>
      <c r="C40" s="48"/>
      <c r="D40" s="49"/>
      <c r="E40" s="50"/>
      <c r="F40" s="51" t="e">
        <f>SUM(F37:F39)</f>
        <v>#REF!</v>
      </c>
    </row>
    <row r="41" spans="1:10" s="20" customFormat="1">
      <c r="A41" s="8"/>
      <c r="B41" s="14" t="s">
        <v>177</v>
      </c>
      <c r="C41" s="8"/>
      <c r="D41" s="8"/>
      <c r="E41" s="8"/>
      <c r="F41" s="126" t="e">
        <f>#REF!+#REF!</f>
        <v>#REF!</v>
      </c>
    </row>
    <row r="42" spans="1:10" s="20" customFormat="1">
      <c r="A42" s="8"/>
      <c r="B42" s="14" t="s">
        <v>123</v>
      </c>
      <c r="C42" s="8"/>
      <c r="D42" s="8"/>
      <c r="E42" s="8"/>
      <c r="F42" s="52" t="e">
        <f>SUM(F40:F41)</f>
        <v>#REF!</v>
      </c>
    </row>
    <row r="43" spans="1:10" s="20" customFormat="1">
      <c r="A43" s="18"/>
      <c r="B43" s="27"/>
      <c r="C43" s="27"/>
      <c r="D43" s="57"/>
      <c r="E43" s="58"/>
      <c r="F43" s="59"/>
      <c r="G43" s="60"/>
      <c r="H43" s="60"/>
      <c r="I43" s="60"/>
      <c r="J43" s="60"/>
    </row>
    <row r="44" spans="1:10" s="20" customFormat="1">
      <c r="A44" s="18"/>
      <c r="B44" s="27"/>
      <c r="C44" s="27"/>
      <c r="D44" s="57"/>
      <c r="E44" s="58"/>
      <c r="F44" s="59"/>
      <c r="G44" s="60"/>
      <c r="H44" s="60"/>
      <c r="I44" s="60"/>
      <c r="J44" s="60"/>
    </row>
    <row r="45" spans="1:10" s="20" customFormat="1">
      <c r="A45" s="18"/>
      <c r="B45" s="27"/>
      <c r="C45" s="27"/>
      <c r="D45" s="57"/>
      <c r="E45" s="58"/>
      <c r="F45" s="59"/>
      <c r="G45" s="60"/>
      <c r="H45" s="60"/>
      <c r="I45" s="60"/>
      <c r="J45" s="60"/>
    </row>
    <row r="46" spans="1:10" s="20" customFormat="1">
      <c r="A46" s="18"/>
      <c r="B46" s="27"/>
      <c r="C46" s="27"/>
      <c r="D46" s="57"/>
      <c r="E46" s="58"/>
      <c r="F46" s="59"/>
      <c r="G46" s="60"/>
      <c r="H46" s="60"/>
      <c r="I46" s="60"/>
      <c r="J46" s="60"/>
    </row>
    <row r="47" spans="1:10" s="20" customFormat="1">
      <c r="A47" s="18"/>
      <c r="B47" s="27"/>
      <c r="C47" s="27"/>
      <c r="D47" s="57"/>
      <c r="E47" s="58"/>
      <c r="F47" s="59"/>
      <c r="G47" s="60"/>
      <c r="H47" s="60"/>
      <c r="I47" s="60"/>
      <c r="J47" s="60"/>
    </row>
    <row r="48" spans="1:10" s="20" customFormat="1">
      <c r="A48" s="18"/>
      <c r="B48" s="30"/>
      <c r="C48" s="30"/>
      <c r="D48" s="61"/>
      <c r="E48" s="62"/>
      <c r="F48" s="63"/>
      <c r="G48" s="60"/>
      <c r="H48" s="60"/>
      <c r="I48" s="60"/>
      <c r="J48" s="60"/>
    </row>
    <row r="49" spans="1:10" s="20" customFormat="1">
      <c r="A49" s="18"/>
      <c r="B49" s="30"/>
      <c r="C49" s="30"/>
      <c r="D49" s="61"/>
      <c r="E49" s="62"/>
      <c r="F49" s="63"/>
      <c r="G49" s="60"/>
      <c r="H49" s="60"/>
      <c r="I49" s="60"/>
      <c r="J49" s="60"/>
    </row>
    <row r="50" spans="1:10" s="20" customFormat="1">
      <c r="A50" s="18"/>
      <c r="B50" s="30"/>
      <c r="C50" s="30"/>
      <c r="D50" s="61"/>
      <c r="E50" s="62"/>
      <c r="F50" s="63"/>
      <c r="G50" s="60"/>
      <c r="H50" s="60"/>
      <c r="I50" s="60"/>
      <c r="J50" s="60"/>
    </row>
    <row r="51" spans="1:10" s="20" customFormat="1">
      <c r="A51" s="18"/>
      <c r="B51" s="30"/>
      <c r="C51" s="30"/>
      <c r="D51" s="61"/>
      <c r="E51" s="62"/>
      <c r="F51" s="63"/>
      <c r="G51" s="60"/>
      <c r="H51" s="60"/>
      <c r="I51" s="60"/>
      <c r="J51" s="60"/>
    </row>
    <row r="52" spans="1:10" s="20" customFormat="1">
      <c r="A52" s="18"/>
      <c r="B52" s="30"/>
      <c r="C52" s="30"/>
      <c r="D52" s="61"/>
      <c r="E52" s="62"/>
      <c r="F52" s="63"/>
      <c r="G52" s="60"/>
      <c r="H52" s="60"/>
      <c r="I52" s="60"/>
      <c r="J52" s="60"/>
    </row>
    <row r="53" spans="1:10" s="20" customFormat="1">
      <c r="A53" s="18"/>
      <c r="B53" s="30"/>
      <c r="C53" s="30"/>
      <c r="D53" s="61"/>
      <c r="E53" s="62"/>
      <c r="F53" s="63"/>
      <c r="G53" s="60"/>
      <c r="H53" s="60"/>
      <c r="I53" s="60"/>
      <c r="J53" s="60"/>
    </row>
    <row r="54" spans="1:10" s="20" customFormat="1">
      <c r="A54" s="18"/>
      <c r="B54" s="30"/>
      <c r="C54" s="30"/>
      <c r="D54" s="61"/>
      <c r="E54" s="62"/>
      <c r="F54" s="63"/>
      <c r="G54" s="60"/>
      <c r="H54" s="60"/>
      <c r="I54" s="60"/>
      <c r="J54" s="60"/>
    </row>
    <row r="55" spans="1:10" s="20" customFormat="1">
      <c r="A55" s="18"/>
      <c r="B55" s="30"/>
      <c r="C55" s="30"/>
      <c r="D55" s="61"/>
      <c r="E55" s="62"/>
      <c r="F55" s="63"/>
      <c r="G55" s="60"/>
      <c r="H55" s="60"/>
      <c r="I55" s="60"/>
      <c r="J55" s="60"/>
    </row>
    <row r="56" spans="1:10" s="20" customFormat="1">
      <c r="A56" s="18"/>
      <c r="B56" s="30"/>
      <c r="C56" s="30"/>
      <c r="D56" s="61"/>
      <c r="E56" s="62"/>
      <c r="F56" s="63"/>
      <c r="G56" s="60"/>
      <c r="H56" s="60"/>
      <c r="I56" s="60"/>
      <c r="J56" s="60"/>
    </row>
    <row r="57" spans="1:10" s="20" customFormat="1">
      <c r="A57" s="18"/>
      <c r="B57" s="30"/>
      <c r="C57" s="30"/>
      <c r="D57" s="61"/>
      <c r="E57" s="62"/>
      <c r="F57" s="63"/>
      <c r="G57" s="60"/>
      <c r="H57" s="60"/>
      <c r="I57" s="60"/>
      <c r="J57" s="60"/>
    </row>
    <row r="58" spans="1:10" s="20" customFormat="1">
      <c r="A58" s="18"/>
      <c r="B58" s="30"/>
      <c r="C58" s="30"/>
      <c r="D58" s="61"/>
      <c r="E58" s="62"/>
      <c r="F58" s="63"/>
      <c r="G58" s="60"/>
      <c r="H58" s="60"/>
      <c r="I58" s="60"/>
      <c r="J58" s="60"/>
    </row>
    <row r="59" spans="1:10" s="20" customFormat="1">
      <c r="A59" s="18"/>
      <c r="B59" s="30"/>
      <c r="C59" s="30"/>
      <c r="D59" s="61"/>
      <c r="E59" s="62"/>
      <c r="F59" s="63"/>
      <c r="G59" s="60"/>
      <c r="H59" s="60"/>
      <c r="I59" s="60"/>
      <c r="J59" s="60"/>
    </row>
    <row r="60" spans="1:10" s="20" customFormat="1">
      <c r="A60" s="18"/>
      <c r="B60" s="30"/>
      <c r="C60" s="30"/>
      <c r="D60" s="61"/>
      <c r="E60" s="62"/>
      <c r="F60" s="63"/>
      <c r="G60" s="60"/>
      <c r="H60" s="60"/>
      <c r="I60" s="60"/>
      <c r="J60" s="60"/>
    </row>
    <row r="61" spans="1:10" s="20" customFormat="1">
      <c r="A61" s="18"/>
      <c r="B61" s="30"/>
      <c r="C61" s="30"/>
      <c r="D61" s="61"/>
      <c r="E61" s="62"/>
      <c r="F61" s="63"/>
      <c r="G61" s="60"/>
      <c r="H61" s="60"/>
      <c r="I61" s="60"/>
      <c r="J61" s="60"/>
    </row>
    <row r="62" spans="1:10" s="20" customFormat="1">
      <c r="A62" s="18"/>
      <c r="B62" s="30"/>
      <c r="C62" s="30"/>
      <c r="D62" s="61"/>
      <c r="E62" s="62"/>
      <c r="F62" s="63"/>
      <c r="G62" s="60"/>
      <c r="H62" s="60"/>
      <c r="I62" s="60"/>
      <c r="J62" s="60"/>
    </row>
    <row r="63" spans="1:10" s="20" customFormat="1">
      <c r="A63" s="18"/>
      <c r="B63" s="30"/>
      <c r="C63" s="30"/>
      <c r="D63" s="61"/>
      <c r="E63" s="62"/>
      <c r="F63" s="63"/>
      <c r="G63" s="60"/>
      <c r="H63" s="60"/>
      <c r="I63" s="60"/>
      <c r="J63" s="60"/>
    </row>
    <row r="64" spans="1:10" s="20" customFormat="1">
      <c r="A64" s="18"/>
      <c r="B64" s="30"/>
      <c r="C64" s="30"/>
      <c r="D64" s="61"/>
      <c r="E64" s="62"/>
      <c r="F64" s="63"/>
      <c r="G64" s="60"/>
      <c r="H64" s="60"/>
      <c r="I64" s="60"/>
      <c r="J64" s="60"/>
    </row>
    <row r="65" spans="1:10" s="20" customFormat="1">
      <c r="A65" s="18"/>
      <c r="B65" s="30"/>
      <c r="C65" s="30"/>
      <c r="D65" s="61"/>
      <c r="E65" s="62"/>
      <c r="F65" s="63"/>
      <c r="G65" s="60"/>
      <c r="H65" s="60"/>
      <c r="I65" s="60"/>
      <c r="J65" s="60"/>
    </row>
    <row r="66" spans="1:10" s="20" customFormat="1">
      <c r="A66" s="18"/>
      <c r="B66" s="27"/>
      <c r="C66" s="30"/>
      <c r="D66" s="61"/>
      <c r="E66" s="62"/>
      <c r="F66" s="59"/>
      <c r="G66" s="60"/>
      <c r="H66" s="60"/>
      <c r="I66" s="60"/>
      <c r="J66" s="60"/>
    </row>
    <row r="67" spans="1:10" s="20" customFormat="1">
      <c r="A67" s="18"/>
      <c r="B67" s="30"/>
      <c r="C67" s="30"/>
      <c r="D67" s="61"/>
      <c r="E67" s="62"/>
      <c r="F67" s="63"/>
      <c r="G67" s="60"/>
      <c r="H67" s="60"/>
      <c r="I67" s="60"/>
      <c r="J67" s="60"/>
    </row>
    <row r="68" spans="1:10" s="20" customFormat="1">
      <c r="A68" s="18"/>
      <c r="B68" s="30"/>
      <c r="C68" s="30"/>
      <c r="D68" s="61"/>
      <c r="E68" s="62"/>
      <c r="F68" s="63"/>
      <c r="G68" s="60"/>
      <c r="H68" s="60"/>
      <c r="I68" s="60"/>
      <c r="J68" s="60"/>
    </row>
    <row r="69" spans="1:10" s="20" customFormat="1">
      <c r="A69" s="18"/>
      <c r="B69" s="64"/>
      <c r="C69" s="30"/>
      <c r="D69" s="61"/>
      <c r="E69" s="62"/>
      <c r="F69" s="63"/>
      <c r="G69" s="60"/>
      <c r="H69" s="60"/>
      <c r="I69" s="60"/>
      <c r="J69" s="60"/>
    </row>
    <row r="70" spans="1:10" s="20" customFormat="1">
      <c r="A70" s="18"/>
      <c r="B70" s="64"/>
      <c r="C70" s="30"/>
      <c r="D70" s="61"/>
      <c r="E70" s="62"/>
      <c r="F70" s="63"/>
      <c r="G70" s="60"/>
      <c r="H70" s="60"/>
      <c r="I70" s="60"/>
      <c r="J70" s="60"/>
    </row>
    <row r="71" spans="1:10" s="20" customFormat="1">
      <c r="A71" s="18"/>
      <c r="B71" s="64"/>
      <c r="C71" s="30"/>
      <c r="D71" s="61"/>
      <c r="E71" s="62"/>
      <c r="F71" s="63"/>
      <c r="G71" s="60"/>
      <c r="H71" s="60"/>
      <c r="I71" s="60"/>
      <c r="J71" s="60"/>
    </row>
    <row r="72" spans="1:10" s="20" customFormat="1">
      <c r="A72" s="18"/>
      <c r="B72" s="64"/>
      <c r="C72" s="30"/>
      <c r="D72" s="61"/>
      <c r="E72" s="62"/>
      <c r="F72" s="63"/>
      <c r="G72" s="60"/>
      <c r="H72" s="60"/>
      <c r="I72" s="60"/>
      <c r="J72" s="60"/>
    </row>
    <row r="73" spans="1:10" s="20" customFormat="1">
      <c r="A73" s="18"/>
      <c r="B73" s="64"/>
      <c r="C73" s="30"/>
      <c r="D73" s="61"/>
      <c r="E73" s="62"/>
      <c r="F73" s="63"/>
      <c r="G73" s="60"/>
      <c r="H73" s="60"/>
      <c r="I73" s="60"/>
      <c r="J73" s="60"/>
    </row>
    <row r="74" spans="1:10" s="20" customFormat="1">
      <c r="A74" s="18"/>
      <c r="B74" s="64"/>
      <c r="C74" s="30"/>
      <c r="D74" s="61"/>
      <c r="E74" s="62"/>
      <c r="F74" s="63"/>
      <c r="G74" s="60"/>
      <c r="H74" s="60"/>
      <c r="I74" s="60"/>
      <c r="J74" s="60"/>
    </row>
    <row r="75" spans="1:10" s="20" customFormat="1">
      <c r="A75" s="18"/>
      <c r="B75" s="64"/>
      <c r="C75" s="30"/>
      <c r="D75" s="61"/>
      <c r="E75" s="62"/>
      <c r="F75" s="63"/>
      <c r="G75" s="60"/>
      <c r="H75" s="60"/>
      <c r="I75" s="60"/>
      <c r="J75" s="60"/>
    </row>
    <row r="76" spans="1:10" s="20" customFormat="1">
      <c r="A76" s="18"/>
      <c r="B76" s="64"/>
      <c r="C76" s="30"/>
      <c r="D76" s="61"/>
      <c r="E76" s="62"/>
      <c r="F76" s="63"/>
      <c r="G76" s="60"/>
      <c r="H76" s="60"/>
      <c r="I76" s="60"/>
      <c r="J76" s="60"/>
    </row>
    <row r="77" spans="1:10" s="20" customFormat="1">
      <c r="A77" s="18"/>
      <c r="B77" s="64"/>
      <c r="C77" s="30"/>
      <c r="D77" s="61"/>
      <c r="E77" s="62"/>
      <c r="F77" s="63"/>
      <c r="G77" s="60"/>
      <c r="H77" s="60"/>
      <c r="I77" s="60"/>
      <c r="J77" s="60"/>
    </row>
    <row r="78" spans="1:10" s="20" customFormat="1">
      <c r="A78" s="18"/>
      <c r="B78" s="64"/>
      <c r="C78" s="30"/>
      <c r="D78" s="61"/>
      <c r="E78" s="62"/>
      <c r="F78" s="63"/>
      <c r="G78" s="60"/>
      <c r="H78" s="60"/>
      <c r="I78" s="60"/>
      <c r="J78" s="60"/>
    </row>
    <row r="79" spans="1:10" s="20" customFormat="1">
      <c r="A79" s="18"/>
      <c r="B79" s="64"/>
      <c r="C79" s="30"/>
      <c r="D79" s="61"/>
      <c r="E79" s="62"/>
      <c r="F79" s="63"/>
      <c r="G79" s="60"/>
      <c r="H79" s="60"/>
      <c r="I79" s="60"/>
      <c r="J79" s="60"/>
    </row>
    <row r="80" spans="1:10" s="20" customFormat="1">
      <c r="A80" s="18"/>
      <c r="B80" s="64"/>
      <c r="C80" s="30"/>
      <c r="D80" s="61"/>
      <c r="E80" s="62"/>
      <c r="F80" s="63"/>
      <c r="G80" s="60"/>
      <c r="H80" s="60"/>
      <c r="I80" s="60"/>
      <c r="J80" s="60"/>
    </row>
    <row r="81" spans="1:10" s="20" customFormat="1">
      <c r="A81" s="18"/>
      <c r="B81" s="64"/>
      <c r="C81" s="30"/>
      <c r="D81" s="61"/>
      <c r="E81" s="62"/>
      <c r="F81" s="63"/>
      <c r="G81" s="60"/>
      <c r="H81" s="60"/>
      <c r="I81" s="60"/>
      <c r="J81" s="60"/>
    </row>
    <row r="82" spans="1:10" s="20" customFormat="1">
      <c r="A82" s="18"/>
      <c r="B82" s="64"/>
      <c r="C82" s="30"/>
      <c r="D82" s="61"/>
      <c r="E82" s="62"/>
      <c r="F82" s="63"/>
      <c r="G82" s="60"/>
      <c r="H82" s="60"/>
      <c r="I82" s="60"/>
      <c r="J82" s="60"/>
    </row>
    <row r="83" spans="1:10" s="20" customFormat="1">
      <c r="A83" s="18"/>
      <c r="B83" s="64"/>
      <c r="C83" s="30"/>
      <c r="D83" s="61"/>
      <c r="E83" s="62"/>
      <c r="F83" s="63"/>
      <c r="G83" s="60"/>
      <c r="H83" s="60"/>
      <c r="I83" s="60"/>
      <c r="J83" s="60"/>
    </row>
    <row r="84" spans="1:10" s="20" customFormat="1">
      <c r="A84" s="18"/>
      <c r="B84" s="64"/>
      <c r="C84" s="30"/>
      <c r="D84" s="61"/>
      <c r="E84" s="62"/>
      <c r="F84" s="63"/>
      <c r="G84" s="60"/>
      <c r="H84" s="60"/>
      <c r="I84" s="60"/>
      <c r="J84" s="60"/>
    </row>
    <row r="85" spans="1:10" s="20" customFormat="1">
      <c r="A85" s="18"/>
      <c r="B85" s="64"/>
      <c r="C85" s="30"/>
      <c r="D85" s="61"/>
      <c r="E85" s="62"/>
      <c r="F85" s="63"/>
      <c r="G85" s="60"/>
      <c r="H85" s="60"/>
      <c r="I85" s="60"/>
      <c r="J85" s="60"/>
    </row>
    <row r="86" spans="1:10" s="20" customFormat="1">
      <c r="A86" s="18"/>
      <c r="B86" s="64"/>
      <c r="C86" s="30"/>
      <c r="D86" s="61"/>
      <c r="E86" s="62"/>
      <c r="F86" s="63"/>
      <c r="G86" s="60"/>
      <c r="H86" s="60"/>
      <c r="I86" s="60"/>
      <c r="J86" s="60"/>
    </row>
    <row r="87" spans="1:10" s="20" customFormat="1">
      <c r="A87" s="18"/>
      <c r="B87" s="64"/>
      <c r="C87" s="30"/>
      <c r="D87" s="61"/>
      <c r="E87" s="62"/>
      <c r="F87" s="63"/>
      <c r="G87" s="60"/>
      <c r="H87" s="60"/>
      <c r="I87" s="60"/>
      <c r="J87" s="60"/>
    </row>
    <row r="88" spans="1:10" s="20" customFormat="1">
      <c r="A88" s="18"/>
      <c r="B88" s="64"/>
      <c r="C88" s="30"/>
      <c r="D88" s="61"/>
      <c r="E88" s="62"/>
      <c r="F88" s="63"/>
      <c r="G88" s="60"/>
      <c r="H88" s="60"/>
      <c r="I88" s="60"/>
      <c r="J88" s="60"/>
    </row>
    <row r="89" spans="1:10" s="20" customFormat="1">
      <c r="A89" s="18"/>
      <c r="B89" s="27"/>
      <c r="C89" s="30"/>
      <c r="D89" s="61"/>
      <c r="E89" s="62"/>
      <c r="F89" s="59"/>
      <c r="G89" s="60"/>
      <c r="H89" s="60"/>
      <c r="I89" s="60"/>
      <c r="J89" s="60"/>
    </row>
    <row r="90" spans="1:10" s="20" customFormat="1">
      <c r="A90" s="18"/>
      <c r="B90" s="30"/>
      <c r="C90" s="30"/>
      <c r="D90" s="61"/>
      <c r="E90" s="62"/>
      <c r="F90" s="63"/>
      <c r="G90" s="60"/>
      <c r="H90" s="60"/>
      <c r="I90" s="60"/>
      <c r="J90" s="60"/>
    </row>
    <row r="91" spans="1:10">
      <c r="A91" s="18"/>
      <c r="B91" s="30"/>
      <c r="C91" s="30"/>
      <c r="D91" s="65"/>
      <c r="E91" s="65"/>
      <c r="F91" s="63"/>
      <c r="G91" s="60"/>
      <c r="H91" s="60"/>
      <c r="I91" s="60"/>
      <c r="J91" s="60"/>
    </row>
    <row r="92" spans="1:10" s="20" customFormat="1">
      <c r="A92" s="18"/>
      <c r="B92" s="30"/>
      <c r="C92" s="30"/>
      <c r="D92" s="65"/>
      <c r="E92" s="65"/>
      <c r="F92" s="63"/>
      <c r="G92" s="60"/>
      <c r="H92" s="60"/>
      <c r="I92" s="60"/>
      <c r="J92" s="60"/>
    </row>
    <row r="93" spans="1:10">
      <c r="A93" s="18"/>
      <c r="B93" s="30"/>
      <c r="C93" s="30"/>
      <c r="D93" s="65"/>
      <c r="E93" s="65"/>
      <c r="F93" s="63"/>
      <c r="G93" s="60"/>
      <c r="H93" s="60"/>
      <c r="I93" s="60"/>
      <c r="J93" s="60"/>
    </row>
    <row r="94" spans="1:10">
      <c r="A94" s="18"/>
      <c r="B94" s="30"/>
      <c r="C94" s="30"/>
      <c r="D94" s="65"/>
      <c r="E94" s="65"/>
      <c r="F94" s="63"/>
      <c r="G94" s="60"/>
      <c r="H94" s="60"/>
      <c r="I94" s="60"/>
      <c r="J94" s="60"/>
    </row>
    <row r="95" spans="1:10">
      <c r="A95" s="18"/>
      <c r="B95" s="30"/>
      <c r="C95" s="30"/>
      <c r="D95" s="65"/>
      <c r="E95" s="65"/>
      <c r="F95" s="63"/>
      <c r="G95" s="60"/>
      <c r="H95" s="60"/>
      <c r="I95" s="60"/>
      <c r="J95" s="60"/>
    </row>
    <row r="96" spans="1:10">
      <c r="A96" s="18"/>
      <c r="B96" s="30"/>
      <c r="C96" s="30"/>
      <c r="D96" s="65"/>
      <c r="E96" s="65"/>
      <c r="F96" s="63"/>
      <c r="G96" s="60"/>
      <c r="H96" s="60"/>
      <c r="I96" s="60"/>
      <c r="J96" s="60"/>
    </row>
    <row r="97" spans="1:10">
      <c r="A97" s="18"/>
      <c r="B97" s="30"/>
      <c r="C97" s="30"/>
      <c r="D97" s="65"/>
      <c r="E97" s="65"/>
      <c r="F97" s="63"/>
      <c r="G97" s="60"/>
      <c r="H97" s="60"/>
      <c r="I97" s="60"/>
      <c r="J97" s="60"/>
    </row>
    <row r="98" spans="1:10" ht="32.25" customHeight="1">
      <c r="A98" s="272"/>
      <c r="B98" s="272"/>
      <c r="C98" s="272"/>
      <c r="D98" s="272"/>
      <c r="E98" s="272"/>
      <c r="F98" s="272"/>
      <c r="G98" s="60"/>
      <c r="H98" s="66"/>
      <c r="I98" s="60"/>
      <c r="J98" s="60"/>
    </row>
    <row r="99" spans="1:10">
      <c r="A99" s="18"/>
      <c r="B99" s="30"/>
      <c r="C99" s="30"/>
      <c r="D99" s="65"/>
      <c r="E99" s="65"/>
      <c r="F99" s="65"/>
      <c r="G99" s="60"/>
      <c r="H99" s="60"/>
      <c r="I99" s="60"/>
      <c r="J99" s="60"/>
    </row>
    <row r="100" spans="1:10">
      <c r="A100" s="18"/>
      <c r="B100" s="30"/>
      <c r="C100" s="30"/>
      <c r="D100" s="65"/>
      <c r="E100" s="65"/>
      <c r="F100" s="65"/>
      <c r="G100" s="60"/>
      <c r="H100" s="60"/>
      <c r="I100" s="60"/>
      <c r="J100" s="60"/>
    </row>
    <row r="101" spans="1:10">
      <c r="A101" s="18"/>
      <c r="B101" s="30"/>
      <c r="C101" s="30"/>
      <c r="D101" s="65"/>
      <c r="E101" s="65"/>
      <c r="F101" s="65"/>
      <c r="G101" s="60"/>
      <c r="H101" s="60"/>
      <c r="I101" s="60"/>
      <c r="J101" s="60"/>
    </row>
    <row r="102" spans="1:10">
      <c r="A102" s="18"/>
      <c r="B102" s="30"/>
      <c r="C102" s="30"/>
      <c r="D102" s="65"/>
      <c r="E102" s="65"/>
      <c r="F102" s="65"/>
      <c r="G102" s="60"/>
      <c r="H102" s="60"/>
      <c r="I102" s="60"/>
      <c r="J102" s="60"/>
    </row>
  </sheetData>
  <mergeCells count="4">
    <mergeCell ref="A4:B4"/>
    <mergeCell ref="A1:F1"/>
    <mergeCell ref="A98:F98"/>
    <mergeCell ref="A3:F3"/>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5"/>
  <sheetViews>
    <sheetView tabSelected="1" view="pageBreakPreview" zoomScaleSheetLayoutView="100" workbookViewId="0">
      <selection activeCell="A65" sqref="A65:G65"/>
    </sheetView>
  </sheetViews>
  <sheetFormatPr defaultRowHeight="12.75"/>
  <cols>
    <col min="1" max="1" width="9.5703125" style="127" customWidth="1"/>
    <col min="2" max="2" width="46.42578125" style="264" bestFit="1" customWidth="1"/>
    <col min="3" max="3" width="10.5703125" style="127" customWidth="1"/>
    <col min="4" max="4" width="6.85546875" style="265" customWidth="1"/>
    <col min="5" max="5" width="11" style="127" customWidth="1"/>
    <col min="6" max="6" width="21.5703125" style="127" customWidth="1"/>
    <col min="7" max="7" width="13.85546875" style="127" customWidth="1"/>
    <col min="8" max="16384" width="9.140625" style="127"/>
  </cols>
  <sheetData>
    <row r="1" spans="1:37" ht="27.75">
      <c r="A1" s="294" t="s">
        <v>182</v>
      </c>
      <c r="B1" s="295"/>
      <c r="C1" s="295"/>
      <c r="D1" s="295"/>
      <c r="E1" s="295"/>
      <c r="F1" s="295"/>
      <c r="G1" s="296"/>
    </row>
    <row r="2" spans="1:37" s="128" customFormat="1" ht="19.5" thickBot="1">
      <c r="A2" s="297" t="s">
        <v>178</v>
      </c>
      <c r="B2" s="298"/>
      <c r="C2" s="298"/>
      <c r="D2" s="298"/>
      <c r="E2" s="298"/>
      <c r="F2" s="298"/>
      <c r="G2" s="299"/>
    </row>
    <row r="3" spans="1:37" ht="10.5" customHeight="1" thickBot="1">
      <c r="A3" s="129"/>
      <c r="B3" s="130"/>
      <c r="C3" s="131"/>
      <c r="D3" s="132"/>
      <c r="E3" s="131"/>
      <c r="F3" s="131"/>
      <c r="G3" s="133"/>
    </row>
    <row r="4" spans="1:37" s="134" customFormat="1" ht="15" customHeight="1">
      <c r="A4" s="300" t="s">
        <v>183</v>
      </c>
      <c r="B4" s="302" t="s">
        <v>184</v>
      </c>
      <c r="C4" s="304" t="s">
        <v>7</v>
      </c>
      <c r="D4" s="305" t="s">
        <v>8</v>
      </c>
      <c r="E4" s="307" t="s">
        <v>185</v>
      </c>
      <c r="F4" s="309" t="s">
        <v>45</v>
      </c>
      <c r="G4" s="311" t="s">
        <v>9</v>
      </c>
    </row>
    <row r="5" spans="1:37" s="134" customFormat="1" ht="21" customHeight="1">
      <c r="A5" s="301"/>
      <c r="B5" s="303"/>
      <c r="C5" s="303"/>
      <c r="D5" s="306"/>
      <c r="E5" s="308"/>
      <c r="F5" s="310"/>
      <c r="G5" s="312"/>
    </row>
    <row r="6" spans="1:37" s="134" customFormat="1" ht="21" customHeight="1">
      <c r="A6" s="135" t="s">
        <v>48</v>
      </c>
      <c r="B6" s="136" t="s">
        <v>49</v>
      </c>
      <c r="C6" s="137"/>
      <c r="D6" s="138"/>
      <c r="E6" s="139"/>
      <c r="F6" s="140"/>
      <c r="G6" s="141"/>
    </row>
    <row r="7" spans="1:37" s="148" customFormat="1" ht="15.75">
      <c r="A7" s="142">
        <v>1</v>
      </c>
      <c r="B7" s="143" t="s">
        <v>186</v>
      </c>
      <c r="C7" s="144"/>
      <c r="D7" s="145"/>
      <c r="E7" s="144"/>
      <c r="F7" s="146"/>
      <c r="G7" s="147"/>
    </row>
    <row r="8" spans="1:37" s="155" customFormat="1" ht="106.5">
      <c r="A8" s="149"/>
      <c r="B8" s="150" t="s">
        <v>187</v>
      </c>
      <c r="C8" s="151">
        <v>1</v>
      </c>
      <c r="D8" s="152" t="s">
        <v>175</v>
      </c>
      <c r="E8" s="153"/>
      <c r="F8" s="153">
        <f>E8*C8</f>
        <v>0</v>
      </c>
      <c r="G8" s="154"/>
    </row>
    <row r="9" spans="1:37" ht="17.25">
      <c r="A9" s="156">
        <v>2</v>
      </c>
      <c r="B9" s="143" t="s">
        <v>188</v>
      </c>
      <c r="C9" s="157"/>
      <c r="D9" s="158"/>
      <c r="E9" s="159"/>
      <c r="F9" s="146">
        <f t="shared" ref="F9:F33" si="0">E9*C9</f>
        <v>0</v>
      </c>
      <c r="G9" s="160"/>
    </row>
    <row r="10" spans="1:37" ht="120">
      <c r="A10" s="161"/>
      <c r="B10" s="150" t="s">
        <v>189</v>
      </c>
      <c r="C10" s="162">
        <f>'[1]Detail Estimate'!G15</f>
        <v>45.172910000000002</v>
      </c>
      <c r="D10" s="163" t="s">
        <v>190</v>
      </c>
      <c r="E10" s="164"/>
      <c r="F10" s="153">
        <f t="shared" si="0"/>
        <v>0</v>
      </c>
      <c r="G10" s="165"/>
    </row>
    <row r="11" spans="1:37" ht="17.25">
      <c r="A11" s="166">
        <v>3</v>
      </c>
      <c r="B11" s="143" t="s">
        <v>191</v>
      </c>
      <c r="C11" s="167"/>
      <c r="D11" s="158"/>
      <c r="E11" s="159"/>
      <c r="F11" s="146">
        <f t="shared" si="0"/>
        <v>0</v>
      </c>
      <c r="G11" s="160"/>
    </row>
    <row r="12" spans="1:37" ht="93.75">
      <c r="A12" s="161"/>
      <c r="B12" s="150" t="s">
        <v>192</v>
      </c>
      <c r="C12" s="162">
        <f>'[1]Detail Estimate'!G17</f>
        <v>27.103746000000001</v>
      </c>
      <c r="D12" s="163" t="s">
        <v>190</v>
      </c>
      <c r="E12" s="164"/>
      <c r="F12" s="153">
        <f t="shared" si="0"/>
        <v>0</v>
      </c>
      <c r="G12" s="165"/>
    </row>
    <row r="13" spans="1:37" ht="17.25">
      <c r="A13" s="166">
        <v>4</v>
      </c>
      <c r="B13" s="143" t="s">
        <v>179</v>
      </c>
      <c r="C13" s="168"/>
      <c r="D13" s="158"/>
      <c r="E13" s="169"/>
      <c r="F13" s="169">
        <f t="shared" si="0"/>
        <v>0</v>
      </c>
      <c r="G13" s="160"/>
    </row>
    <row r="14" spans="1:37" ht="40.5">
      <c r="A14" s="161"/>
      <c r="B14" s="150" t="s">
        <v>193</v>
      </c>
      <c r="C14" s="162">
        <f>'[1]Detail Estimate'!G31</f>
        <v>161.96449999999999</v>
      </c>
      <c r="D14" s="163" t="s">
        <v>194</v>
      </c>
      <c r="E14" s="164"/>
      <c r="F14" s="170">
        <f t="shared" si="0"/>
        <v>0</v>
      </c>
      <c r="G14" s="165"/>
    </row>
    <row r="15" spans="1:37" s="148" customFormat="1" ht="14.25" customHeight="1">
      <c r="A15" s="171">
        <v>5</v>
      </c>
      <c r="B15" s="143" t="s">
        <v>195</v>
      </c>
      <c r="C15" s="168"/>
      <c r="D15" s="158"/>
      <c r="E15" s="172"/>
      <c r="F15" s="173">
        <f t="shared" si="0"/>
        <v>0</v>
      </c>
      <c r="G15" s="174"/>
    </row>
    <row r="16" spans="1:37" s="155" customFormat="1" ht="13.5" customHeight="1">
      <c r="A16" s="175">
        <v>5.0999999999999996</v>
      </c>
      <c r="B16" s="176" t="s">
        <v>196</v>
      </c>
      <c r="C16" s="177"/>
      <c r="D16" s="178"/>
      <c r="E16" s="179"/>
      <c r="F16" s="180">
        <f t="shared" si="0"/>
        <v>0</v>
      </c>
      <c r="G16" s="181"/>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row>
    <row r="17" spans="1:37" s="155" customFormat="1" ht="81">
      <c r="A17" s="183"/>
      <c r="B17" s="184" t="s">
        <v>197</v>
      </c>
      <c r="C17" s="162">
        <f>'[1]Detail Estimate'!G42</f>
        <v>8.1091650000000008</v>
      </c>
      <c r="D17" s="163" t="s">
        <v>190</v>
      </c>
      <c r="E17" s="185"/>
      <c r="F17" s="153">
        <f>E17*C17</f>
        <v>0</v>
      </c>
      <c r="G17" s="186"/>
      <c r="I17" s="187"/>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row>
    <row r="18" spans="1:37" s="182" customFormat="1" ht="16.5">
      <c r="A18" s="188">
        <v>5.2</v>
      </c>
      <c r="B18" s="189" t="s">
        <v>198</v>
      </c>
      <c r="C18" s="190"/>
      <c r="D18" s="191"/>
      <c r="E18" s="192"/>
      <c r="F18" s="180">
        <f t="shared" si="0"/>
        <v>0</v>
      </c>
      <c r="G18" s="193"/>
    </row>
    <row r="19" spans="1:37" s="155" customFormat="1" ht="123" customHeight="1">
      <c r="A19" s="194"/>
      <c r="B19" s="150" t="s">
        <v>199</v>
      </c>
      <c r="C19" s="162">
        <f>'[1]Detail Estimate'!G51</f>
        <v>2.3983743360000003</v>
      </c>
      <c r="D19" s="163" t="s">
        <v>190</v>
      </c>
      <c r="E19" s="185"/>
      <c r="F19" s="153">
        <f t="shared" si="0"/>
        <v>0</v>
      </c>
      <c r="G19" s="186"/>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row>
    <row r="20" spans="1:37" s="148" customFormat="1" ht="17.25">
      <c r="A20" s="171">
        <v>6</v>
      </c>
      <c r="B20" s="143" t="s">
        <v>200</v>
      </c>
      <c r="C20" s="168"/>
      <c r="D20" s="157"/>
      <c r="F20" s="180">
        <f t="shared" si="0"/>
        <v>0</v>
      </c>
      <c r="G20" s="160"/>
    </row>
    <row r="21" spans="1:37" s="155" customFormat="1" ht="121.5">
      <c r="A21" s="195"/>
      <c r="B21" s="150" t="s">
        <v>201</v>
      </c>
      <c r="C21" s="196">
        <f>'[1]Detail Estimate'!G96</f>
        <v>431.21134633343485</v>
      </c>
      <c r="D21" s="197" t="s">
        <v>202</v>
      </c>
      <c r="E21" s="162"/>
      <c r="F21" s="153">
        <f t="shared" si="0"/>
        <v>0</v>
      </c>
      <c r="G21" s="165"/>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row>
    <row r="22" spans="1:37" s="148" customFormat="1" ht="17.25">
      <c r="A22" s="198">
        <v>7</v>
      </c>
      <c r="B22" s="199" t="s">
        <v>203</v>
      </c>
      <c r="C22" s="167"/>
      <c r="D22" s="158"/>
      <c r="E22" s="200"/>
      <c r="F22" s="173">
        <f>E22*C22</f>
        <v>0</v>
      </c>
      <c r="G22" s="174"/>
    </row>
    <row r="23" spans="1:37" s="182" customFormat="1" ht="16.5">
      <c r="A23" s="201">
        <v>7.1</v>
      </c>
      <c r="B23" s="202" t="s">
        <v>204</v>
      </c>
      <c r="C23" s="203"/>
      <c r="D23" s="204"/>
      <c r="E23" s="205"/>
      <c r="F23" s="180">
        <f t="shared" si="0"/>
        <v>0</v>
      </c>
      <c r="G23" s="206"/>
    </row>
    <row r="24" spans="1:37" s="155" customFormat="1" ht="126" customHeight="1">
      <c r="A24" s="207"/>
      <c r="B24" s="208" t="s">
        <v>205</v>
      </c>
      <c r="C24" s="209">
        <f>'[1]Detail Estimate'!G114</f>
        <v>24.119449750000008</v>
      </c>
      <c r="D24" s="210" t="s">
        <v>190</v>
      </c>
      <c r="E24" s="211"/>
      <c r="F24" s="153">
        <f t="shared" si="0"/>
        <v>0</v>
      </c>
      <c r="G24" s="181"/>
    </row>
    <row r="25" spans="1:37" s="182" customFormat="1" ht="16.5">
      <c r="A25" s="201">
        <v>7.2</v>
      </c>
      <c r="B25" s="202" t="s">
        <v>206</v>
      </c>
      <c r="C25" s="203"/>
      <c r="D25" s="204"/>
      <c r="E25" s="212"/>
      <c r="F25" s="180">
        <f>E25*C25</f>
        <v>0</v>
      </c>
      <c r="G25" s="213"/>
    </row>
    <row r="26" spans="1:37" s="155" customFormat="1" ht="135.75">
      <c r="A26" s="161"/>
      <c r="B26" s="214" t="s">
        <v>207</v>
      </c>
      <c r="C26" s="215">
        <f>'[1]Detail Estimate'!G128</f>
        <v>26.402850000000001</v>
      </c>
      <c r="D26" s="210" t="s">
        <v>190</v>
      </c>
      <c r="E26" s="162"/>
      <c r="F26" s="153">
        <f t="shared" si="0"/>
        <v>0</v>
      </c>
      <c r="G26" s="165"/>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row>
    <row r="27" spans="1:37" s="148" customFormat="1" ht="17.25">
      <c r="A27" s="166">
        <v>8</v>
      </c>
      <c r="B27" s="216" t="s">
        <v>208</v>
      </c>
      <c r="C27" s="167"/>
      <c r="D27" s="217"/>
      <c r="E27" s="159"/>
      <c r="F27" s="180">
        <f t="shared" si="0"/>
        <v>0</v>
      </c>
      <c r="G27" s="218"/>
    </row>
    <row r="28" spans="1:37" s="155" customFormat="1" ht="108">
      <c r="A28" s="194"/>
      <c r="B28" s="150" t="s">
        <v>209</v>
      </c>
      <c r="C28" s="196">
        <f>'[1]Detail Estimate'!G136</f>
        <v>38.330999999999996</v>
      </c>
      <c r="D28" s="163" t="s">
        <v>194</v>
      </c>
      <c r="E28" s="162"/>
      <c r="F28" s="180">
        <f t="shared" si="0"/>
        <v>0</v>
      </c>
      <c r="G28" s="165"/>
    </row>
    <row r="29" spans="1:37" s="148" customFormat="1" ht="17.25">
      <c r="A29" s="166">
        <v>9</v>
      </c>
      <c r="B29" s="219" t="s">
        <v>210</v>
      </c>
      <c r="C29" s="167"/>
      <c r="D29" s="217"/>
      <c r="E29" s="220"/>
      <c r="F29" s="173">
        <f>E29*C29</f>
        <v>0</v>
      </c>
      <c r="G29" s="221"/>
    </row>
    <row r="30" spans="1:37" s="148" customFormat="1" ht="17.25">
      <c r="A30" s="156">
        <v>9.1</v>
      </c>
      <c r="B30" s="222" t="s">
        <v>211</v>
      </c>
      <c r="C30" s="223"/>
      <c r="D30" s="158"/>
      <c r="E30" s="224"/>
      <c r="F30" s="180">
        <f t="shared" si="0"/>
        <v>0</v>
      </c>
      <c r="G30" s="174"/>
    </row>
    <row r="31" spans="1:37" s="182" customFormat="1" ht="16.5">
      <c r="A31" s="225" t="s">
        <v>212</v>
      </c>
      <c r="B31" s="222" t="s">
        <v>213</v>
      </c>
      <c r="C31" s="203"/>
      <c r="D31" s="204"/>
      <c r="E31" s="226"/>
      <c r="F31" s="180">
        <f t="shared" si="0"/>
        <v>0</v>
      </c>
      <c r="G31" s="206"/>
    </row>
    <row r="32" spans="1:37" s="155" customFormat="1" ht="162">
      <c r="A32" s="195"/>
      <c r="B32" s="150" t="s">
        <v>214</v>
      </c>
      <c r="C32" s="196">
        <f>'[1]Detail Estimate'!G153</f>
        <v>8.4000000000000021</v>
      </c>
      <c r="D32" s="163" t="s">
        <v>194</v>
      </c>
      <c r="E32" s="227"/>
      <c r="F32" s="153">
        <f t="shared" si="0"/>
        <v>0</v>
      </c>
      <c r="G32" s="186"/>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row>
    <row r="33" spans="1:43" s="182" customFormat="1" ht="16.5">
      <c r="A33" s="188" t="s">
        <v>215</v>
      </c>
      <c r="B33" s="228" t="s">
        <v>216</v>
      </c>
      <c r="C33" s="229"/>
      <c r="D33" s="191"/>
      <c r="E33" s="190"/>
      <c r="F33" s="180">
        <f t="shared" si="0"/>
        <v>0</v>
      </c>
      <c r="G33" s="230"/>
    </row>
    <row r="34" spans="1:43" s="155" customFormat="1" ht="148.5">
      <c r="A34" s="195"/>
      <c r="B34" s="150" t="s">
        <v>217</v>
      </c>
      <c r="C34" s="196">
        <f>'[1]Detail Estimate'!G156</f>
        <v>14.580000000000002</v>
      </c>
      <c r="D34" s="163" t="s">
        <v>194</v>
      </c>
      <c r="E34" s="162"/>
      <c r="F34" s="153">
        <f>E34*C34</f>
        <v>0</v>
      </c>
      <c r="G34" s="23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row>
    <row r="35" spans="1:43" s="148" customFormat="1" ht="17.25">
      <c r="A35" s="156">
        <v>9.1999999999999993</v>
      </c>
      <c r="B35" s="232" t="s">
        <v>218</v>
      </c>
      <c r="C35" s="196">
        <f>'[1]Detail Estimate'!G149</f>
        <v>396.35767500000009</v>
      </c>
      <c r="D35" s="233" t="s">
        <v>202</v>
      </c>
      <c r="E35" s="162"/>
      <c r="F35" s="153">
        <f>E35*C35</f>
        <v>0</v>
      </c>
      <c r="G35" s="234"/>
    </row>
    <row r="36" spans="1:43" s="155" customFormat="1" ht="15">
      <c r="A36" s="171">
        <v>10</v>
      </c>
      <c r="B36" s="235" t="s">
        <v>219</v>
      </c>
      <c r="C36" s="236">
        <f>'[1]Detail Estimate'!G195</f>
        <v>1819.5787539999999</v>
      </c>
      <c r="D36" s="237" t="s">
        <v>202</v>
      </c>
      <c r="E36" s="238"/>
      <c r="F36" s="153">
        <f t="shared" ref="F36:F39" si="1">E36*C36</f>
        <v>0</v>
      </c>
      <c r="G36" s="239"/>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row>
    <row r="37" spans="1:43" s="148" customFormat="1" ht="17.25">
      <c r="A37" s="171">
        <v>11</v>
      </c>
      <c r="B37" s="240" t="s">
        <v>220</v>
      </c>
      <c r="C37" s="167"/>
      <c r="D37" s="217"/>
      <c r="E37" s="159"/>
      <c r="F37" s="180">
        <f t="shared" si="1"/>
        <v>0</v>
      </c>
      <c r="G37" s="218"/>
    </row>
    <row r="38" spans="1:43" s="155" customFormat="1" ht="93.75">
      <c r="A38" s="194">
        <v>11.1</v>
      </c>
      <c r="B38" s="241" t="s">
        <v>221</v>
      </c>
      <c r="C38" s="196">
        <f>'[1]Detail Estimate'!G201</f>
        <v>158.95706999999999</v>
      </c>
      <c r="D38" s="163" t="s">
        <v>194</v>
      </c>
      <c r="E38" s="162"/>
      <c r="F38" s="153">
        <f t="shared" si="1"/>
        <v>0</v>
      </c>
      <c r="G38" s="165"/>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row>
    <row r="39" spans="1:43" s="155" customFormat="1" ht="94.5">
      <c r="A39" s="242">
        <v>11.2</v>
      </c>
      <c r="B39" s="241" t="s">
        <v>222</v>
      </c>
      <c r="C39" s="196">
        <f>'[1]Detail Estimate'!G203</f>
        <v>15.83</v>
      </c>
      <c r="D39" s="163" t="s">
        <v>180</v>
      </c>
      <c r="E39" s="162"/>
      <c r="F39" s="153">
        <f t="shared" si="1"/>
        <v>0</v>
      </c>
      <c r="G39" s="165"/>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row>
    <row r="40" spans="1:43" s="155" customFormat="1" ht="54">
      <c r="A40" s="242">
        <v>11.3</v>
      </c>
      <c r="B40" s="243" t="s">
        <v>223</v>
      </c>
      <c r="C40" s="236">
        <f>'[1]Detail Estimate'!G205</f>
        <v>21.6</v>
      </c>
      <c r="D40" s="233" t="s">
        <v>194</v>
      </c>
      <c r="E40" s="238"/>
      <c r="F40" s="153">
        <f>E40*C40</f>
        <v>0</v>
      </c>
      <c r="G40" s="239"/>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row>
    <row r="41" spans="1:43" s="155" customFormat="1" ht="54">
      <c r="A41" s="242">
        <v>11.4</v>
      </c>
      <c r="B41" s="243" t="s">
        <v>224</v>
      </c>
      <c r="C41" s="244">
        <f>'[1]Detail Estimate'!G207</f>
        <v>83.64</v>
      </c>
      <c r="D41" s="233" t="s">
        <v>194</v>
      </c>
      <c r="E41" s="238"/>
      <c r="F41" s="180">
        <f t="shared" ref="F41" si="2">E41*C41</f>
        <v>0</v>
      </c>
      <c r="G41" s="239"/>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row>
    <row r="42" spans="1:43" s="148" customFormat="1" ht="14.25" customHeight="1">
      <c r="A42" s="171">
        <v>12</v>
      </c>
      <c r="B42" s="245" t="s">
        <v>225</v>
      </c>
      <c r="C42" s="167"/>
      <c r="D42" s="279" t="s">
        <v>194</v>
      </c>
      <c r="E42" s="282"/>
      <c r="F42" s="173"/>
      <c r="G42" s="285"/>
    </row>
    <row r="43" spans="1:43" s="182" customFormat="1" ht="28.5">
      <c r="A43" s="201">
        <v>12.1</v>
      </c>
      <c r="B43" s="246" t="s">
        <v>226</v>
      </c>
      <c r="C43" s="203"/>
      <c r="D43" s="280"/>
      <c r="E43" s="283"/>
      <c r="F43" s="180"/>
      <c r="G43" s="286"/>
    </row>
    <row r="44" spans="1:43" s="248" customFormat="1" ht="81">
      <c r="A44" s="161"/>
      <c r="B44" s="247" t="s">
        <v>227</v>
      </c>
      <c r="C44" s="196">
        <f>'[1]Detail Estimate'!G221</f>
        <v>114.80400000000002</v>
      </c>
      <c r="D44" s="281"/>
      <c r="E44" s="284"/>
      <c r="F44" s="153">
        <f>E42*C44</f>
        <v>0</v>
      </c>
      <c r="G44" s="287"/>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row>
    <row r="45" spans="1:43" s="182" customFormat="1" ht="28.5">
      <c r="A45" s="201">
        <v>12.2</v>
      </c>
      <c r="B45" s="249" t="s">
        <v>228</v>
      </c>
      <c r="C45" s="167"/>
      <c r="D45" s="288" t="s">
        <v>194</v>
      </c>
      <c r="E45" s="290"/>
      <c r="F45" s="167"/>
      <c r="G45" s="292"/>
    </row>
    <row r="46" spans="1:43" s="248" customFormat="1" ht="81">
      <c r="A46" s="161"/>
      <c r="B46" s="150" t="s">
        <v>227</v>
      </c>
      <c r="C46" s="203">
        <f>'[1]Detail Estimate'!G224</f>
        <v>108.94800000000001</v>
      </c>
      <c r="D46" s="289"/>
      <c r="E46" s="291"/>
      <c r="F46" s="203">
        <f>E45*C46</f>
        <v>0</v>
      </c>
      <c r="G46" s="293"/>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row>
    <row r="47" spans="1:43" s="148" customFormat="1" ht="17.25">
      <c r="A47" s="171">
        <v>13</v>
      </c>
      <c r="B47" s="216" t="s">
        <v>181</v>
      </c>
      <c r="C47" s="167"/>
      <c r="D47" s="217"/>
      <c r="E47" s="159"/>
      <c r="F47" s="250"/>
      <c r="G47" s="218"/>
    </row>
    <row r="48" spans="1:43" s="155" customFormat="1" ht="54">
      <c r="A48" s="195"/>
      <c r="B48" s="150" t="s">
        <v>229</v>
      </c>
      <c r="C48" s="196">
        <f>'[1]Detail Estimate'!G227</f>
        <v>223.75200000000001</v>
      </c>
      <c r="D48" s="163" t="s">
        <v>194</v>
      </c>
      <c r="E48" s="162"/>
      <c r="F48" s="251">
        <f>E48*C48</f>
        <v>0</v>
      </c>
      <c r="G48" s="165"/>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row>
    <row r="49" spans="1:37" s="148" customFormat="1" ht="30">
      <c r="A49" s="171">
        <v>14</v>
      </c>
      <c r="B49" s="216" t="s">
        <v>230</v>
      </c>
      <c r="C49" s="167"/>
      <c r="D49" s="217"/>
      <c r="E49" s="159"/>
      <c r="F49" s="250">
        <f t="shared" ref="F49:F63" si="3">E49*C49</f>
        <v>0</v>
      </c>
      <c r="G49" s="218"/>
    </row>
    <row r="50" spans="1:37" s="155" customFormat="1" ht="45" customHeight="1">
      <c r="A50" s="195"/>
      <c r="B50" s="150" t="s">
        <v>231</v>
      </c>
      <c r="C50" s="196">
        <f>'[1]Detail Estimate'!G230</f>
        <v>223.75200000000001</v>
      </c>
      <c r="D50" s="163" t="s">
        <v>194</v>
      </c>
      <c r="E50" s="162"/>
      <c r="F50" s="251">
        <f t="shared" si="3"/>
        <v>0</v>
      </c>
      <c r="G50" s="165"/>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row>
    <row r="51" spans="1:37" s="148" customFormat="1" ht="30">
      <c r="A51" s="171">
        <v>15</v>
      </c>
      <c r="B51" s="216" t="s">
        <v>232</v>
      </c>
      <c r="C51" s="167"/>
      <c r="D51" s="250"/>
      <c r="E51" s="159"/>
      <c r="F51" s="250">
        <f t="shared" si="3"/>
        <v>0</v>
      </c>
      <c r="G51" s="218"/>
    </row>
    <row r="52" spans="1:37" s="155" customFormat="1" ht="45" customHeight="1">
      <c r="A52" s="195"/>
      <c r="B52" s="150" t="s">
        <v>233</v>
      </c>
      <c r="C52" s="196">
        <f>'[1]Detail Estimate'!G239</f>
        <v>62.040000000000013</v>
      </c>
      <c r="D52" s="251" t="s">
        <v>194</v>
      </c>
      <c r="E52" s="162"/>
      <c r="F52" s="252">
        <f t="shared" si="3"/>
        <v>0</v>
      </c>
      <c r="G52" s="165"/>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row>
    <row r="53" spans="1:37" s="148" customFormat="1" ht="15" customHeight="1">
      <c r="A53" s="198">
        <v>16</v>
      </c>
      <c r="B53" s="143" t="s">
        <v>234</v>
      </c>
      <c r="C53" s="223"/>
      <c r="D53" s="158"/>
      <c r="E53" s="224"/>
      <c r="F53" s="250">
        <f t="shared" si="3"/>
        <v>0</v>
      </c>
      <c r="G53" s="174"/>
    </row>
    <row r="54" spans="1:37" s="182" customFormat="1" ht="16.5">
      <c r="A54" s="253">
        <v>16.100000000000001</v>
      </c>
      <c r="B54" s="222" t="s">
        <v>235</v>
      </c>
      <c r="C54" s="203"/>
      <c r="D54" s="204"/>
      <c r="E54" s="226"/>
      <c r="F54" s="252">
        <f t="shared" si="3"/>
        <v>0</v>
      </c>
      <c r="G54" s="206"/>
    </row>
    <row r="55" spans="1:37" s="155" customFormat="1" ht="94.5">
      <c r="A55" s="161"/>
      <c r="B55" s="150" t="s">
        <v>236</v>
      </c>
      <c r="C55" s="196">
        <f>'[1]Detail Estimate'!G245</f>
        <v>46.247600000000006</v>
      </c>
      <c r="D55" s="163" t="s">
        <v>190</v>
      </c>
      <c r="E55" s="227"/>
      <c r="F55" s="254">
        <f t="shared" si="3"/>
        <v>0</v>
      </c>
      <c r="G55" s="186"/>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row>
    <row r="56" spans="1:37" s="182" customFormat="1" ht="15" customHeight="1">
      <c r="A56" s="255">
        <v>16.2</v>
      </c>
      <c r="B56" s="189" t="s">
        <v>237</v>
      </c>
      <c r="C56" s="229"/>
      <c r="D56" s="191"/>
      <c r="E56" s="256"/>
      <c r="F56" s="257">
        <f t="shared" si="3"/>
        <v>0</v>
      </c>
      <c r="G56" s="258"/>
    </row>
    <row r="57" spans="1:37" s="155" customFormat="1" ht="121.5">
      <c r="A57" s="161"/>
      <c r="B57" s="241" t="s">
        <v>238</v>
      </c>
      <c r="C57" s="196">
        <f>'[1]Detail Estimate'!G251</f>
        <v>5.7809500000000007</v>
      </c>
      <c r="D57" s="163" t="s">
        <v>190</v>
      </c>
      <c r="E57" s="227"/>
      <c r="F57" s="251">
        <f>E57*C57</f>
        <v>0</v>
      </c>
      <c r="G57" s="186"/>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row>
    <row r="58" spans="1:37" s="182" customFormat="1" ht="15.75" customHeight="1">
      <c r="A58" s="259">
        <v>16.3</v>
      </c>
      <c r="B58" s="228" t="s">
        <v>239</v>
      </c>
      <c r="C58" s="203"/>
      <c r="D58" s="204"/>
      <c r="E58" s="260"/>
      <c r="F58" s="252">
        <f t="shared" si="3"/>
        <v>0</v>
      </c>
      <c r="G58" s="213"/>
    </row>
    <row r="59" spans="1:37" s="155" customFormat="1" ht="69.75" customHeight="1">
      <c r="A59" s="161"/>
      <c r="B59" s="214" t="s">
        <v>240</v>
      </c>
      <c r="C59" s="196">
        <f>'[1]Detail Estimate'!G257</f>
        <v>115.619</v>
      </c>
      <c r="D59" s="163" t="s">
        <v>194</v>
      </c>
      <c r="E59" s="162"/>
      <c r="F59" s="261">
        <f t="shared" si="3"/>
        <v>0</v>
      </c>
      <c r="G59" s="165"/>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row>
    <row r="60" spans="1:37" s="182" customFormat="1" ht="15" customHeight="1">
      <c r="A60" s="259">
        <v>16.399999999999999</v>
      </c>
      <c r="B60" s="222" t="s">
        <v>241</v>
      </c>
      <c r="C60" s="229"/>
      <c r="D60" s="191"/>
      <c r="E60" s="260"/>
      <c r="F60" s="252">
        <f t="shared" si="3"/>
        <v>0</v>
      </c>
      <c r="G60" s="213"/>
    </row>
    <row r="61" spans="1:37" s="155" customFormat="1" ht="105.75">
      <c r="A61" s="161"/>
      <c r="B61" s="184" t="s">
        <v>242</v>
      </c>
      <c r="C61" s="196">
        <f>'[1]Detail Estimate'!G263</f>
        <v>115.619</v>
      </c>
      <c r="D61" s="163" t="s">
        <v>194</v>
      </c>
      <c r="E61" s="162"/>
      <c r="F61" s="254">
        <f t="shared" si="3"/>
        <v>0</v>
      </c>
      <c r="G61" s="165"/>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row>
    <row r="62" spans="1:37" s="182" customFormat="1" ht="16.5">
      <c r="A62" s="255">
        <v>16.5</v>
      </c>
      <c r="B62" s="189" t="s">
        <v>243</v>
      </c>
      <c r="C62" s="229"/>
      <c r="D62" s="191"/>
      <c r="E62" s="256"/>
      <c r="F62" s="257">
        <f t="shared" si="3"/>
        <v>0</v>
      </c>
      <c r="G62" s="258"/>
    </row>
    <row r="63" spans="1:37" s="155" customFormat="1" ht="108">
      <c r="A63" s="161"/>
      <c r="B63" s="150" t="s">
        <v>244</v>
      </c>
      <c r="C63" s="196">
        <f>'[1]Detail Estimate'!G269</f>
        <v>115.619</v>
      </c>
      <c r="D63" s="163" t="s">
        <v>194</v>
      </c>
      <c r="E63" s="227"/>
      <c r="F63" s="251">
        <f t="shared" si="3"/>
        <v>0</v>
      </c>
      <c r="G63" s="186"/>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row>
    <row r="64" spans="1:37" ht="21">
      <c r="A64" s="274" t="s">
        <v>245</v>
      </c>
      <c r="B64" s="275"/>
      <c r="C64" s="275"/>
      <c r="D64" s="275"/>
      <c r="E64" s="275"/>
      <c r="F64" s="262">
        <f>SUM(F8:F63)</f>
        <v>0</v>
      </c>
      <c r="G64" s="263"/>
    </row>
    <row r="65" spans="1:7" ht="18.75" thickBot="1">
      <c r="A65" s="276"/>
      <c r="B65" s="277"/>
      <c r="C65" s="277"/>
      <c r="D65" s="277"/>
      <c r="E65" s="277"/>
      <c r="F65" s="277"/>
      <c r="G65" s="278"/>
    </row>
  </sheetData>
  <mergeCells count="17">
    <mergeCell ref="A1:G1"/>
    <mergeCell ref="A2:G2"/>
    <mergeCell ref="A4:A5"/>
    <mergeCell ref="B4:B5"/>
    <mergeCell ref="C4:C5"/>
    <mergeCell ref="D4:D5"/>
    <mergeCell ref="E4:E5"/>
    <mergeCell ref="F4:F5"/>
    <mergeCell ref="G4:G5"/>
    <mergeCell ref="A64:E64"/>
    <mergeCell ref="A65:G65"/>
    <mergeCell ref="D42:D44"/>
    <mergeCell ref="E42:E44"/>
    <mergeCell ref="G42:G44"/>
    <mergeCell ref="D45:D46"/>
    <mergeCell ref="E45:E46"/>
    <mergeCell ref="G45:G46"/>
  </mergeCells>
  <pageMargins left="0.5" right="0.39" top="0.52" bottom="0.41" header="0.17" footer="0.17"/>
  <pageSetup paperSize="9" scale="78" orientation="portrait" horizontalDpi="4294967293" verticalDpi="4294967293" r:id="rId1"/>
  <headerFooter alignWithMargins="0"/>
  <rowBreaks count="3" manualBreakCount="3">
    <brk id="23" max="6" man="1"/>
    <brk id="36" max="6" man="1"/>
    <brk id="5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Quantity Estimate</vt:lpstr>
      <vt:lpstr>Cooperative</vt:lpstr>
      <vt:lpstr>BOQ</vt:lpstr>
      <vt:lpstr>BOQ!Print_Area</vt:lpstr>
      <vt:lpstr>Cooperative!Print_Area</vt:lpstr>
      <vt:lpstr>'Quantity Estimate'!Print_Area</vt:lpstr>
      <vt:lpstr>BOQ!Print_Titles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nabin</dc:creator>
  <cp:lastModifiedBy>Windows User</cp:lastModifiedBy>
  <cp:lastPrinted>2017-03-07T05:16:38Z</cp:lastPrinted>
  <dcterms:created xsi:type="dcterms:W3CDTF">2013-10-08T15:16:47Z</dcterms:created>
  <dcterms:modified xsi:type="dcterms:W3CDTF">2017-05-29T03:42:37Z</dcterms:modified>
</cp:coreProperties>
</file>